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D:\AFS (PREGÃO)\PRE\2025\PROCESSOS\PROCESSOS ENVIO\Processo 044 - Concorrência 001 - UBS VANDEIR\"/>
    </mc:Choice>
  </mc:AlternateContent>
  <xr:revisionPtr revIDLastSave="0" documentId="8_{21EB8B7F-F9E8-4B0F-8C28-5C17F700402F}" xr6:coauthVersionLast="47" xr6:coauthVersionMax="47" xr10:uidLastSave="{00000000-0000-0000-0000-000000000000}"/>
  <bookViews>
    <workbookView xWindow="-120" yWindow="-120" windowWidth="24240" windowHeight="13140" activeTab="2" xr2:uid="{00000000-000D-0000-FFFF-FFFF00000000}"/>
  </bookViews>
  <sheets>
    <sheet name="PLAN ORÇ" sheetId="6" r:id="rId1"/>
    <sheet name="MM CALC" sheetId="21" r:id="rId2"/>
    <sheet name="CRON" sheetId="7" r:id="rId3"/>
  </sheets>
  <externalReferences>
    <externalReference r:id="rId4"/>
  </externalReferences>
  <definedNames>
    <definedName name="_xlnm._FilterDatabase" localSheetId="2" hidden="1">CRON!$A$7:$N$7</definedName>
    <definedName name="_xlnm._FilterDatabase" localSheetId="1" hidden="1">'MM CALC'!$A$7:$G$161</definedName>
    <definedName name="_xlnm._FilterDatabase" localSheetId="0" hidden="1">'PLAN ORÇ'!$A$10:$I$163</definedName>
    <definedName name="_xlnm.Print_Area" localSheetId="2">CRON!$A$1:$L$40</definedName>
    <definedName name="_xlnm.Print_Area" localSheetId="1">'MM CALC'!$A$1:$G$171</definedName>
    <definedName name="_xlnm.Print_Area" localSheetId="0">'PLAN ORÇ'!$A$1:$J$176</definedName>
    <definedName name="_xlnm.Database">TEXT([1]Dados!$G$29,"mm-aaaa")</definedName>
    <definedName name="Fonte" localSheetId="1">'MM CALC'!#REF!</definedName>
    <definedName name="Fonte">'PLAN ORÇ'!$I1</definedName>
    <definedName name="nao" localSheetId="1">#REF!</definedName>
    <definedName name="nao">#REF!</definedName>
    <definedName name="_xlnm.Print_Titles" localSheetId="1">'MM CALC'!$1:$8</definedName>
    <definedName name="_xlnm.Print_Titles" localSheetId="0">'PLAN ORÇ'!$1:$9</definedName>
  </definedNames>
  <calcPr calcId="191029"/>
</workbook>
</file>

<file path=xl/calcChain.xml><?xml version="1.0" encoding="utf-8"?>
<calcChain xmlns="http://schemas.openxmlformats.org/spreadsheetml/2006/main">
  <c r="D63" i="6" l="1"/>
  <c r="F53" i="21"/>
  <c r="F54" i="21" s="1"/>
  <c r="F52" i="21"/>
  <c r="F57" i="21"/>
  <c r="F78" i="21"/>
  <c r="F66" i="21"/>
  <c r="F65" i="21"/>
  <c r="F63" i="21"/>
  <c r="F50" i="21"/>
  <c r="F46" i="21"/>
  <c r="F45" i="21"/>
  <c r="F44" i="21"/>
  <c r="F49" i="21"/>
  <c r="F48" i="21"/>
  <c r="F39" i="21"/>
  <c r="F38" i="21"/>
  <c r="H38" i="21"/>
  <c r="F32" i="21"/>
  <c r="F27" i="21"/>
  <c r="F26" i="21"/>
  <c r="F24" i="21"/>
  <c r="F145" i="21"/>
  <c r="F112" i="6"/>
  <c r="E112" i="6"/>
  <c r="D112" i="6"/>
  <c r="C112" i="6"/>
  <c r="B112" i="6"/>
  <c r="A112" i="6"/>
  <c r="F113" i="21"/>
  <c r="F108" i="21"/>
  <c r="F91" i="21"/>
  <c r="F92" i="21"/>
  <c r="F89" i="21"/>
  <c r="F88" i="21"/>
  <c r="F84" i="21"/>
  <c r="F82" i="21"/>
  <c r="F80" i="21"/>
  <c r="F79" i="21"/>
  <c r="F77" i="21"/>
  <c r="F75" i="21"/>
  <c r="F74" i="21"/>
  <c r="F71" i="21"/>
  <c r="F72" i="21" s="1"/>
  <c r="E62" i="6"/>
  <c r="D62" i="6"/>
  <c r="C47" i="6"/>
  <c r="C48" i="6"/>
  <c r="C49" i="6"/>
  <c r="C51" i="6"/>
  <c r="C52" i="6"/>
  <c r="C53" i="6"/>
  <c r="C55" i="6"/>
  <c r="C56" i="6"/>
  <c r="C57" i="6"/>
  <c r="C60" i="6"/>
  <c r="C61" i="6"/>
  <c r="C62" i="6"/>
  <c r="C63" i="6"/>
  <c r="C65" i="6"/>
  <c r="C66" i="6"/>
  <c r="C67" i="6"/>
  <c r="C68" i="6"/>
  <c r="C69" i="6"/>
  <c r="C71" i="6"/>
  <c r="C72" i="6"/>
  <c r="C73" i="6"/>
  <c r="C74" i="6"/>
  <c r="C75" i="6"/>
  <c r="C77" i="6"/>
  <c r="C78" i="6"/>
  <c r="C79" i="6"/>
  <c r="C80" i="6"/>
  <c r="C81" i="6"/>
  <c r="C82" i="6"/>
  <c r="C83" i="6"/>
  <c r="C84" i="6"/>
  <c r="C85" i="6"/>
  <c r="C87" i="6"/>
  <c r="C89" i="6"/>
  <c r="C90" i="6"/>
  <c r="C91" i="6"/>
  <c r="C92" i="6"/>
  <c r="C93" i="6"/>
  <c r="C94" i="6"/>
  <c r="C95" i="6"/>
  <c r="C96" i="6"/>
  <c r="C97" i="6"/>
  <c r="C98" i="6"/>
  <c r="C99" i="6"/>
  <c r="C100" i="6"/>
  <c r="C101" i="6"/>
  <c r="C102" i="6"/>
  <c r="C103" i="6"/>
  <c r="C104" i="6"/>
  <c r="C105" i="6"/>
  <c r="C106" i="6"/>
  <c r="C107" i="6"/>
  <c r="C108" i="6"/>
  <c r="C109" i="6"/>
  <c r="C110" i="6"/>
  <c r="C111" i="6"/>
  <c r="C114" i="6"/>
  <c r="C115" i="6"/>
  <c r="C116" i="6"/>
  <c r="C117" i="6"/>
  <c r="C118" i="6"/>
  <c r="C119" i="6"/>
  <c r="C120" i="6"/>
  <c r="C121" i="6"/>
  <c r="C122" i="6"/>
  <c r="C123" i="6"/>
  <c r="C124" i="6"/>
  <c r="C125" i="6"/>
  <c r="C126" i="6"/>
  <c r="C127" i="6"/>
  <c r="C128" i="6"/>
  <c r="C129" i="6"/>
  <c r="C130" i="6"/>
  <c r="C131" i="6"/>
  <c r="C132" i="6"/>
  <c r="C134" i="6"/>
  <c r="C135" i="6"/>
  <c r="C136" i="6"/>
  <c r="C137" i="6"/>
  <c r="C138" i="6"/>
  <c r="C139" i="6"/>
  <c r="C140" i="6"/>
  <c r="C141" i="6"/>
  <c r="C142" i="6"/>
  <c r="C143" i="6"/>
  <c r="C144" i="6"/>
  <c r="C145" i="6"/>
  <c r="C146" i="6"/>
  <c r="C147" i="6"/>
  <c r="C148" i="6"/>
  <c r="C149" i="6"/>
  <c r="C150" i="6"/>
  <c r="C151" i="6"/>
  <c r="C152" i="6"/>
  <c r="C154" i="6"/>
  <c r="C155" i="6"/>
  <c r="C156" i="6"/>
  <c r="C157" i="6"/>
  <c r="C158" i="6"/>
  <c r="C159" i="6"/>
  <c r="C160" i="6"/>
  <c r="C161" i="6"/>
  <c r="C163" i="6"/>
  <c r="C41" i="6"/>
  <c r="C42" i="6"/>
  <c r="C43" i="6"/>
  <c r="C44" i="6"/>
  <c r="B47" i="6"/>
  <c r="B48" i="6"/>
  <c r="B49" i="6"/>
  <c r="B51" i="6"/>
  <c r="B52" i="6"/>
  <c r="B53" i="6"/>
  <c r="B55" i="6"/>
  <c r="B56" i="6"/>
  <c r="B57" i="6"/>
  <c r="B60" i="6"/>
  <c r="B61" i="6"/>
  <c r="B62" i="6"/>
  <c r="B63" i="6"/>
  <c r="B65" i="6"/>
  <c r="B66" i="6"/>
  <c r="B67" i="6"/>
  <c r="B68" i="6"/>
  <c r="B69" i="6"/>
  <c r="B71" i="6"/>
  <c r="B72" i="6"/>
  <c r="B73" i="6"/>
  <c r="B74" i="6"/>
  <c r="B75" i="6"/>
  <c r="B77" i="6"/>
  <c r="B78" i="6"/>
  <c r="B79" i="6"/>
  <c r="B80" i="6"/>
  <c r="B81" i="6"/>
  <c r="B82" i="6"/>
  <c r="B83" i="6"/>
  <c r="B84" i="6"/>
  <c r="B85" i="6"/>
  <c r="B87" i="6"/>
  <c r="B89" i="6"/>
  <c r="B90" i="6"/>
  <c r="B91" i="6"/>
  <c r="B92" i="6"/>
  <c r="B93" i="6"/>
  <c r="B94" i="6"/>
  <c r="B95" i="6"/>
  <c r="B96" i="6"/>
  <c r="B97" i="6"/>
  <c r="B98" i="6"/>
  <c r="B99" i="6"/>
  <c r="B100" i="6"/>
  <c r="B101" i="6"/>
  <c r="B102" i="6"/>
  <c r="B103" i="6"/>
  <c r="B104" i="6"/>
  <c r="B105" i="6"/>
  <c r="B106" i="6"/>
  <c r="B107" i="6"/>
  <c r="B108" i="6"/>
  <c r="B109" i="6"/>
  <c r="B110" i="6"/>
  <c r="B111" i="6"/>
  <c r="B114" i="6"/>
  <c r="B115" i="6"/>
  <c r="B116" i="6"/>
  <c r="B117" i="6"/>
  <c r="B118" i="6"/>
  <c r="B119" i="6"/>
  <c r="B120" i="6"/>
  <c r="B121" i="6"/>
  <c r="B122" i="6"/>
  <c r="B123" i="6"/>
  <c r="B124" i="6"/>
  <c r="B125" i="6"/>
  <c r="B126" i="6"/>
  <c r="B127" i="6"/>
  <c r="B128" i="6"/>
  <c r="B129" i="6"/>
  <c r="B130" i="6"/>
  <c r="B131" i="6"/>
  <c r="B132" i="6"/>
  <c r="B134" i="6"/>
  <c r="B135" i="6"/>
  <c r="B136" i="6"/>
  <c r="B137" i="6"/>
  <c r="B138" i="6"/>
  <c r="B139" i="6"/>
  <c r="B140" i="6"/>
  <c r="B141" i="6"/>
  <c r="B142" i="6"/>
  <c r="B143" i="6"/>
  <c r="B144" i="6"/>
  <c r="B145" i="6"/>
  <c r="B146" i="6"/>
  <c r="B147" i="6"/>
  <c r="B148" i="6"/>
  <c r="B149" i="6"/>
  <c r="B150" i="6"/>
  <c r="B151" i="6"/>
  <c r="B152" i="6"/>
  <c r="B154" i="6"/>
  <c r="B155" i="6"/>
  <c r="B156" i="6"/>
  <c r="B157" i="6"/>
  <c r="B158" i="6"/>
  <c r="B159" i="6"/>
  <c r="B160" i="6"/>
  <c r="B161" i="6"/>
  <c r="B163" i="6"/>
  <c r="B41" i="6"/>
  <c r="B42" i="6"/>
  <c r="B43" i="6"/>
  <c r="B44"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70" i="6"/>
  <c r="A66" i="6"/>
  <c r="A67" i="6"/>
  <c r="A68" i="6"/>
  <c r="A69" i="6"/>
  <c r="A65" i="6"/>
  <c r="A64" i="6"/>
  <c r="A63" i="6"/>
  <c r="A62" i="6"/>
  <c r="A61" i="6"/>
  <c r="A60" i="6"/>
  <c r="A58" i="6"/>
  <c r="A59" i="6"/>
  <c r="A54" i="6"/>
  <c r="A55" i="6"/>
  <c r="A56" i="6"/>
  <c r="A57" i="6"/>
  <c r="A50" i="6"/>
  <c r="A51" i="6"/>
  <c r="A52" i="6"/>
  <c r="A53" i="6"/>
  <c r="A47" i="6"/>
  <c r="A48" i="6"/>
  <c r="A49" i="6"/>
  <c r="A45" i="6"/>
  <c r="A46" i="6"/>
  <c r="A40" i="6"/>
  <c r="A41" i="6"/>
  <c r="A42" i="6"/>
  <c r="A43" i="6"/>
  <c r="A44" i="6"/>
  <c r="C39" i="6"/>
  <c r="F60" i="21"/>
  <c r="F63" i="6" s="1"/>
  <c r="F76" i="21" l="1"/>
  <c r="F58" i="21" l="1"/>
  <c r="F68" i="21" s="1"/>
  <c r="F69" i="21" s="1"/>
  <c r="F70" i="21" s="1"/>
  <c r="F64" i="21"/>
  <c r="F62" i="21"/>
  <c r="F33" i="21"/>
  <c r="F34" i="21"/>
  <c r="F61" i="6" l="1"/>
  <c r="F51" i="6"/>
  <c r="F48" i="6"/>
  <c r="F40" i="21"/>
  <c r="F43" i="6" s="1"/>
  <c r="F42" i="6"/>
  <c r="F35" i="6"/>
  <c r="F31" i="21"/>
  <c r="F34" i="6" s="1"/>
  <c r="F29" i="6"/>
  <c r="F30" i="6"/>
  <c r="F31" i="6"/>
  <c r="F32" i="6"/>
  <c r="F33" i="6"/>
  <c r="F36" i="6"/>
  <c r="F37" i="6"/>
  <c r="F38" i="6"/>
  <c r="F41" i="6"/>
  <c r="F47" i="6"/>
  <c r="F49" i="6"/>
  <c r="F52" i="6"/>
  <c r="F53" i="6"/>
  <c r="F55" i="6"/>
  <c r="F56" i="6"/>
  <c r="F57" i="6"/>
  <c r="F60" i="6"/>
  <c r="F65" i="6"/>
  <c r="F66" i="6"/>
  <c r="F67" i="6"/>
  <c r="F69" i="6"/>
  <c r="F74" i="6"/>
  <c r="F75" i="6"/>
  <c r="F80" i="6"/>
  <c r="F81" i="6"/>
  <c r="F82" i="6"/>
  <c r="F84" i="6"/>
  <c r="F89" i="6"/>
  <c r="F90" i="6"/>
  <c r="F96" i="6"/>
  <c r="F97" i="6"/>
  <c r="F98" i="6"/>
  <c r="F99" i="6"/>
  <c r="F100" i="6"/>
  <c r="F101" i="6"/>
  <c r="F102" i="6"/>
  <c r="F103" i="6"/>
  <c r="F104" i="6"/>
  <c r="F105" i="6"/>
  <c r="F106" i="6"/>
  <c r="F107" i="6"/>
  <c r="F108" i="6"/>
  <c r="F109" i="6"/>
  <c r="F110" i="6"/>
  <c r="F114" i="6"/>
  <c r="F115" i="6"/>
  <c r="F116" i="6"/>
  <c r="F117" i="6"/>
  <c r="F118" i="6"/>
  <c r="F119" i="6"/>
  <c r="F120" i="6"/>
  <c r="F121" i="6"/>
  <c r="F122" i="6"/>
  <c r="F123" i="6"/>
  <c r="F124" i="6"/>
  <c r="F125" i="6"/>
  <c r="F126" i="6"/>
  <c r="F127" i="6"/>
  <c r="F128" i="6"/>
  <c r="F129" i="6"/>
  <c r="F130" i="6"/>
  <c r="F131" i="6"/>
  <c r="F132" i="6"/>
  <c r="F134" i="6"/>
  <c r="F135" i="6"/>
  <c r="F136" i="6"/>
  <c r="F137" i="6"/>
  <c r="F138" i="6"/>
  <c r="F139" i="6"/>
  <c r="F140" i="6"/>
  <c r="F141" i="6"/>
  <c r="F142" i="6"/>
  <c r="F143" i="6"/>
  <c r="F144" i="6"/>
  <c r="F145" i="6"/>
  <c r="F146" i="6"/>
  <c r="F147" i="6"/>
  <c r="F148" i="6"/>
  <c r="F149" i="6"/>
  <c r="F150" i="6"/>
  <c r="F151" i="6"/>
  <c r="F152" i="6"/>
  <c r="F154" i="6"/>
  <c r="F155" i="6"/>
  <c r="F156" i="6"/>
  <c r="F157" i="6"/>
  <c r="F158" i="6"/>
  <c r="F159" i="6"/>
  <c r="F160" i="6"/>
  <c r="F161" i="6"/>
  <c r="F163" i="6"/>
  <c r="E29" i="6"/>
  <c r="E30" i="6"/>
  <c r="E31" i="6"/>
  <c r="E32" i="6"/>
  <c r="E33" i="6"/>
  <c r="E34" i="6"/>
  <c r="E35" i="6"/>
  <c r="E36" i="6"/>
  <c r="E37" i="6"/>
  <c r="E38" i="6"/>
  <c r="E39" i="6"/>
  <c r="E41" i="6"/>
  <c r="E42" i="6"/>
  <c r="E43" i="6"/>
  <c r="E44" i="6"/>
  <c r="E47" i="6"/>
  <c r="E48" i="6"/>
  <c r="E49" i="6"/>
  <c r="E51" i="6"/>
  <c r="E52" i="6"/>
  <c r="E53" i="6"/>
  <c r="E55" i="6"/>
  <c r="E56" i="6"/>
  <c r="E57" i="6"/>
  <c r="E60" i="6"/>
  <c r="E61" i="6"/>
  <c r="E63" i="6"/>
  <c r="E65" i="6"/>
  <c r="E66" i="6"/>
  <c r="E67" i="6"/>
  <c r="E68" i="6"/>
  <c r="E69" i="6"/>
  <c r="E71" i="6"/>
  <c r="E72" i="6"/>
  <c r="E73" i="6"/>
  <c r="E74" i="6"/>
  <c r="E75" i="6"/>
  <c r="E77" i="6"/>
  <c r="E78" i="6"/>
  <c r="E79" i="6"/>
  <c r="E80" i="6"/>
  <c r="E81" i="6"/>
  <c r="E82" i="6"/>
  <c r="E83" i="6"/>
  <c r="E84" i="6"/>
  <c r="E85" i="6"/>
  <c r="E87" i="6"/>
  <c r="E89" i="6"/>
  <c r="E90" i="6"/>
  <c r="E91" i="6"/>
  <c r="E92" i="6"/>
  <c r="E93" i="6"/>
  <c r="E94" i="6"/>
  <c r="E95" i="6"/>
  <c r="E96" i="6"/>
  <c r="E97" i="6"/>
  <c r="E98" i="6"/>
  <c r="E99" i="6"/>
  <c r="E100" i="6"/>
  <c r="E101" i="6"/>
  <c r="E102" i="6"/>
  <c r="E103" i="6"/>
  <c r="E104" i="6"/>
  <c r="E105" i="6"/>
  <c r="E106" i="6"/>
  <c r="E107" i="6"/>
  <c r="E108" i="6"/>
  <c r="E109" i="6"/>
  <c r="E110" i="6"/>
  <c r="E111" i="6"/>
  <c r="E114" i="6"/>
  <c r="E115" i="6"/>
  <c r="E116" i="6"/>
  <c r="E117" i="6"/>
  <c r="E118" i="6"/>
  <c r="E119" i="6"/>
  <c r="E120" i="6"/>
  <c r="E121" i="6"/>
  <c r="E122" i="6"/>
  <c r="E123" i="6"/>
  <c r="E124" i="6"/>
  <c r="E125" i="6"/>
  <c r="E126" i="6"/>
  <c r="E127" i="6"/>
  <c r="E128" i="6"/>
  <c r="E129" i="6"/>
  <c r="E130" i="6"/>
  <c r="E131" i="6"/>
  <c r="E132" i="6"/>
  <c r="E134" i="6"/>
  <c r="E135" i="6"/>
  <c r="E136" i="6"/>
  <c r="E137" i="6"/>
  <c r="E138" i="6"/>
  <c r="E139" i="6"/>
  <c r="E140" i="6"/>
  <c r="E141" i="6"/>
  <c r="E142" i="6"/>
  <c r="E143" i="6"/>
  <c r="E144" i="6"/>
  <c r="E145" i="6"/>
  <c r="E146" i="6"/>
  <c r="E147" i="6"/>
  <c r="E148" i="6"/>
  <c r="E149" i="6"/>
  <c r="E150" i="6"/>
  <c r="E151" i="6"/>
  <c r="E152" i="6"/>
  <c r="E154" i="6"/>
  <c r="E155" i="6"/>
  <c r="E156" i="6"/>
  <c r="E157" i="6"/>
  <c r="E158" i="6"/>
  <c r="E159" i="6"/>
  <c r="E160" i="6"/>
  <c r="E161" i="6"/>
  <c r="E163" i="6"/>
  <c r="D40" i="6"/>
  <c r="D41" i="6"/>
  <c r="D42" i="6"/>
  <c r="D43" i="6"/>
  <c r="D44" i="6"/>
  <c r="D45" i="6"/>
  <c r="D46" i="6"/>
  <c r="D47" i="6"/>
  <c r="D48" i="6"/>
  <c r="D49" i="6"/>
  <c r="D50" i="6"/>
  <c r="D51" i="6"/>
  <c r="D52" i="6"/>
  <c r="D53" i="6"/>
  <c r="D54" i="6"/>
  <c r="D55" i="6"/>
  <c r="D56" i="6"/>
  <c r="D57" i="6"/>
  <c r="D58" i="6"/>
  <c r="D59" i="6"/>
  <c r="D60" i="6"/>
  <c r="D61" i="6"/>
  <c r="D64" i="6"/>
  <c r="D65" i="6"/>
  <c r="D66" i="6"/>
  <c r="D67" i="6"/>
  <c r="D68" i="6"/>
  <c r="D69" i="6"/>
  <c r="D70" i="6"/>
  <c r="D71" i="6"/>
  <c r="D72" i="6"/>
  <c r="D73" i="6"/>
  <c r="D74" i="6"/>
  <c r="D75" i="6"/>
  <c r="D76" i="6"/>
  <c r="D77" i="6"/>
  <c r="D78" i="6"/>
  <c r="D79" i="6"/>
  <c r="D80" i="6"/>
  <c r="D81" i="6"/>
  <c r="D82" i="6"/>
  <c r="D83" i="6"/>
  <c r="D84" i="6"/>
  <c r="D85" i="6"/>
  <c r="D86" i="6"/>
  <c r="D87" i="6"/>
  <c r="D88" i="6"/>
  <c r="D89" i="6"/>
  <c r="D90" i="6"/>
  <c r="D91" i="6"/>
  <c r="D92" i="6"/>
  <c r="D93" i="6"/>
  <c r="D94" i="6"/>
  <c r="D95" i="6"/>
  <c r="D96" i="6"/>
  <c r="D97" i="6"/>
  <c r="D98" i="6"/>
  <c r="D99" i="6"/>
  <c r="D100" i="6"/>
  <c r="D101" i="6"/>
  <c r="D102" i="6"/>
  <c r="D103" i="6"/>
  <c r="D104" i="6"/>
  <c r="D105" i="6"/>
  <c r="D106" i="6"/>
  <c r="D107" i="6"/>
  <c r="D108" i="6"/>
  <c r="D109" i="6"/>
  <c r="D110" i="6"/>
  <c r="D111" i="6"/>
  <c r="D113" i="6"/>
  <c r="D114" i="6"/>
  <c r="D115" i="6"/>
  <c r="D116" i="6"/>
  <c r="D117" i="6"/>
  <c r="D118" i="6"/>
  <c r="D119" i="6"/>
  <c r="D120" i="6"/>
  <c r="D121" i="6"/>
  <c r="D122" i="6"/>
  <c r="D123" i="6"/>
  <c r="D124" i="6"/>
  <c r="D125" i="6"/>
  <c r="D126" i="6"/>
  <c r="D127" i="6"/>
  <c r="D128" i="6"/>
  <c r="D129" i="6"/>
  <c r="D130" i="6"/>
  <c r="D131" i="6"/>
  <c r="D132" i="6"/>
  <c r="D133" i="6"/>
  <c r="D134" i="6"/>
  <c r="D135" i="6"/>
  <c r="D136" i="6"/>
  <c r="D137" i="6"/>
  <c r="D138" i="6"/>
  <c r="D139" i="6"/>
  <c r="D140" i="6"/>
  <c r="D141" i="6"/>
  <c r="D142" i="6"/>
  <c r="D143" i="6"/>
  <c r="D144" i="6"/>
  <c r="D145" i="6"/>
  <c r="D146" i="6"/>
  <c r="D147" i="6"/>
  <c r="D148" i="6"/>
  <c r="D149" i="6"/>
  <c r="D150" i="6"/>
  <c r="D151" i="6"/>
  <c r="D152" i="6"/>
  <c r="D153" i="6"/>
  <c r="D154" i="6"/>
  <c r="D155" i="6"/>
  <c r="D156" i="6"/>
  <c r="D157" i="6"/>
  <c r="D158" i="6"/>
  <c r="D159" i="6"/>
  <c r="D160" i="6"/>
  <c r="D161" i="6"/>
  <c r="D162" i="6"/>
  <c r="D163" i="6"/>
  <c r="D30" i="6"/>
  <c r="D31" i="6"/>
  <c r="D32" i="6"/>
  <c r="D33" i="6"/>
  <c r="D34" i="6"/>
  <c r="D35" i="6"/>
  <c r="D36" i="6"/>
  <c r="D37" i="6"/>
  <c r="D38" i="6"/>
  <c r="D39" i="6"/>
  <c r="D29" i="6"/>
  <c r="C30" i="6"/>
  <c r="C31" i="6"/>
  <c r="C32" i="6"/>
  <c r="C33" i="6"/>
  <c r="C34" i="6"/>
  <c r="C35" i="6"/>
  <c r="C36" i="6"/>
  <c r="C37" i="6"/>
  <c r="C38" i="6"/>
  <c r="C29" i="6"/>
  <c r="C27" i="6"/>
  <c r="A29" i="6"/>
  <c r="F13" i="6"/>
  <c r="D14" i="6"/>
  <c r="D13" i="6"/>
  <c r="C13" i="6"/>
  <c r="A14" i="6"/>
  <c r="A13" i="6"/>
  <c r="D12" i="6"/>
  <c r="A12" i="6"/>
  <c r="F22" i="21"/>
  <c r="L8" i="7" l="1"/>
  <c r="A12" i="7"/>
  <c r="A10" i="7"/>
  <c r="B8" i="7"/>
  <c r="A8" i="7"/>
  <c r="L28" i="7" l="1"/>
  <c r="F79" i="6"/>
  <c r="F78" i="6"/>
  <c r="L26" i="7" l="1"/>
  <c r="B30" i="6"/>
  <c r="B31" i="6"/>
  <c r="B32" i="6"/>
  <c r="B33" i="6"/>
  <c r="B34" i="6"/>
  <c r="B35" i="6"/>
  <c r="B36" i="6"/>
  <c r="B37" i="6"/>
  <c r="B38" i="6"/>
  <c r="B39" i="6"/>
  <c r="B29" i="6"/>
  <c r="A30" i="6"/>
  <c r="A31" i="6"/>
  <c r="A32" i="6"/>
  <c r="A33" i="6"/>
  <c r="A34" i="6"/>
  <c r="A35" i="6"/>
  <c r="A36" i="6"/>
  <c r="A37" i="6"/>
  <c r="A38" i="6"/>
  <c r="A39" i="6"/>
  <c r="A28" i="6"/>
  <c r="F17" i="6"/>
  <c r="F18" i="6"/>
  <c r="F19" i="6"/>
  <c r="F20" i="6"/>
  <c r="F21" i="6"/>
  <c r="F22" i="6"/>
  <c r="F23" i="6"/>
  <c r="F16" i="6"/>
  <c r="E17" i="6"/>
  <c r="E18" i="6"/>
  <c r="E19" i="6"/>
  <c r="E20" i="6"/>
  <c r="E21" i="6"/>
  <c r="E22" i="6"/>
  <c r="E23" i="6"/>
  <c r="E16" i="6"/>
  <c r="D17" i="6"/>
  <c r="D18" i="6"/>
  <c r="D19" i="6"/>
  <c r="D20" i="6"/>
  <c r="D21" i="6"/>
  <c r="D22" i="6"/>
  <c r="D23" i="6"/>
  <c r="D16" i="6"/>
  <c r="C17" i="6"/>
  <c r="C18" i="6"/>
  <c r="C19" i="6"/>
  <c r="C20" i="6"/>
  <c r="C21" i="6"/>
  <c r="C22" i="6"/>
  <c r="C23" i="6"/>
  <c r="C16" i="6"/>
  <c r="B17" i="6"/>
  <c r="B18" i="6"/>
  <c r="B19" i="6"/>
  <c r="B20" i="6"/>
  <c r="B21" i="6"/>
  <c r="B22" i="6"/>
  <c r="B23" i="6"/>
  <c r="B16" i="6"/>
  <c r="A17" i="6"/>
  <c r="A18" i="6"/>
  <c r="A19" i="6"/>
  <c r="A20" i="6"/>
  <c r="A21" i="6"/>
  <c r="A22" i="6"/>
  <c r="A23" i="6"/>
  <c r="A16" i="6"/>
  <c r="F94" i="6"/>
  <c r="F111" i="6"/>
  <c r="F95" i="6"/>
  <c r="F92" i="6"/>
  <c r="F91" i="6"/>
  <c r="F87" i="6"/>
  <c r="F85" i="6"/>
  <c r="F83" i="6"/>
  <c r="F77" i="6"/>
  <c r="F36" i="21"/>
  <c r="F39" i="6" s="1"/>
  <c r="F68" i="6"/>
  <c r="F41" i="21"/>
  <c r="F44" i="6" s="1"/>
  <c r="D15" i="6"/>
  <c r="A15" i="6"/>
  <c r="F72" i="6" l="1"/>
  <c r="F73" i="6"/>
  <c r="F90" i="21"/>
  <c r="F93" i="6" s="1"/>
  <c r="F71" i="6"/>
  <c r="C15" i="7" l="1"/>
  <c r="D15" i="7" s="1"/>
  <c r="C11" i="7"/>
  <c r="E15" i="7" l="1"/>
  <c r="F25" i="6"/>
  <c r="F14" i="6" l="1"/>
  <c r="E26" i="6"/>
  <c r="E27" i="6"/>
  <c r="E25" i="6"/>
  <c r="E13" i="6"/>
  <c r="E14" i="6"/>
  <c r="D24" i="6"/>
  <c r="D25" i="6"/>
  <c r="D26" i="6"/>
  <c r="D27" i="6"/>
  <c r="C26" i="6"/>
  <c r="C25" i="6"/>
  <c r="C14" i="6"/>
  <c r="B13" i="6"/>
  <c r="B14" i="6"/>
  <c r="B25" i="6"/>
  <c r="B26" i="6"/>
  <c r="B27" i="6"/>
  <c r="A24" i="6"/>
  <c r="A25" i="6"/>
  <c r="A26" i="6"/>
  <c r="A27" i="6"/>
  <c r="F27" i="6" l="1"/>
  <c r="C29" i="7" l="1"/>
  <c r="K29" i="7" s="1"/>
  <c r="L29" i="7" s="1"/>
  <c r="E4" i="6" l="1"/>
  <c r="C23" i="7" l="1"/>
  <c r="K23" i="7" l="1"/>
  <c r="I23" i="7"/>
  <c r="J23" i="7"/>
  <c r="C27" i="7" l="1"/>
  <c r="K27" i="7" l="1"/>
  <c r="J27" i="7"/>
  <c r="I27" i="7"/>
  <c r="L27" i="7" l="1"/>
  <c r="A4" i="7" l="1"/>
  <c r="A5" i="7"/>
  <c r="L5" i="7"/>
  <c r="C25" i="7" l="1"/>
  <c r="A5" i="6"/>
  <c r="J25" i="7" l="1"/>
  <c r="G25" i="7"/>
  <c r="K25" i="7"/>
  <c r="C17" i="7"/>
  <c r="E17" i="7" s="1"/>
  <c r="F59" i="21" l="1"/>
  <c r="F62" i="6" s="1"/>
  <c r="C19" i="7" l="1"/>
  <c r="E19" i="7" l="1"/>
  <c r="F19" i="7"/>
  <c r="L23" i="7"/>
  <c r="C21" i="7" l="1"/>
  <c r="E21" i="7" s="1"/>
  <c r="F26" i="6"/>
  <c r="A6" i="6"/>
  <c r="A4" i="6"/>
  <c r="A6" i="7"/>
  <c r="I21" i="7" l="1"/>
  <c r="F21" i="7"/>
  <c r="G21" i="7"/>
  <c r="J21" i="7"/>
  <c r="K21" i="7"/>
  <c r="H21" i="7"/>
  <c r="J11" i="6"/>
  <c r="L19" i="7"/>
  <c r="C13" i="7" l="1"/>
  <c r="D13" i="7"/>
  <c r="L13" i="7" s="1"/>
  <c r="L21" i="7"/>
  <c r="L25" i="7" l="1"/>
  <c r="L17" i="7"/>
  <c r="D11" i="7" l="1"/>
  <c r="E11" i="7" l="1"/>
  <c r="F11" i="7" l="1"/>
  <c r="I12" i="6"/>
  <c r="I11" i="6" l="1"/>
  <c r="C9" i="7"/>
  <c r="G11" i="7"/>
  <c r="F5" i="7" l="1"/>
  <c r="H11" i="7"/>
  <c r="D9" i="7"/>
  <c r="K9" i="7"/>
  <c r="J9" i="7"/>
  <c r="H9" i="7"/>
  <c r="G9" i="7"/>
  <c r="G31" i="7" s="1"/>
  <c r="I9" i="7"/>
  <c r="F9" i="7"/>
  <c r="F31" i="7" s="1"/>
  <c r="E9" i="7"/>
  <c r="E31" i="7" s="1"/>
  <c r="C31" i="7"/>
  <c r="F10" i="7" s="1"/>
  <c r="L12" i="7"/>
  <c r="C20" i="7" l="1"/>
  <c r="C26" i="7"/>
  <c r="C8" i="7"/>
  <c r="C28" i="7"/>
  <c r="C10" i="7"/>
  <c r="C12" i="7"/>
  <c r="C22" i="7"/>
  <c r="C24" i="7"/>
  <c r="L9" i="7"/>
  <c r="D31" i="7"/>
  <c r="C16" i="7"/>
  <c r="H31" i="7"/>
  <c r="H10" i="7"/>
  <c r="I11" i="7"/>
  <c r="C18" i="7"/>
  <c r="G10" i="7"/>
  <c r="C14" i="7"/>
  <c r="L18" i="7"/>
  <c r="L24" i="7"/>
  <c r="L16" i="7"/>
  <c r="L22" i="7"/>
  <c r="L20" i="7"/>
  <c r="I31" i="7" l="1"/>
  <c r="J11" i="7"/>
  <c r="I10" i="7"/>
  <c r="C30" i="7"/>
  <c r="H30" i="7" s="1"/>
  <c r="L15" i="7"/>
  <c r="L14" i="7"/>
  <c r="D30" i="7" l="1"/>
  <c r="I30" i="7"/>
  <c r="G30" i="7"/>
  <c r="F30" i="7"/>
  <c r="E30" i="7"/>
  <c r="J31" i="7"/>
  <c r="J30" i="7" s="1"/>
  <c r="J10" i="7"/>
  <c r="K11" i="7"/>
  <c r="K10" i="7" l="1"/>
  <c r="L10" i="7" s="1"/>
  <c r="K31" i="7"/>
  <c r="L11" i="7"/>
  <c r="K30" i="7" l="1"/>
  <c r="L30" i="7" s="1"/>
  <c r="L31" i="7"/>
</calcChain>
</file>

<file path=xl/sharedStrings.xml><?xml version="1.0" encoding="utf-8"?>
<sst xmlns="http://schemas.openxmlformats.org/spreadsheetml/2006/main" count="855" uniqueCount="561">
  <si>
    <t>ITEM</t>
  </si>
  <si>
    <t>DESCRIÇÃO</t>
  </si>
  <si>
    <t>CÓDIGO</t>
  </si>
  <si>
    <t>DIRETA</t>
  </si>
  <si>
    <t>INDIRETA</t>
  </si>
  <si>
    <t>(    )</t>
  </si>
  <si>
    <t>UND.</t>
  </si>
  <si>
    <t>QUANT.</t>
  </si>
  <si>
    <t>TOTAL</t>
  </si>
  <si>
    <t>FONTE</t>
  </si>
  <si>
    <t>4.1</t>
  </si>
  <si>
    <t>1.1</t>
  </si>
  <si>
    <t>2.1</t>
  </si>
  <si>
    <t>3.1</t>
  </si>
  <si>
    <t>(  X  )</t>
  </si>
  <si>
    <t xml:space="preserve">FORMA DE
EXECUÇÃO: </t>
  </si>
  <si>
    <t>UNITÁRIO
 S/ BDI</t>
  </si>
  <si>
    <t>UNITÁRIO
C/ BDI</t>
  </si>
  <si>
    <t>FÓRMULA/MEMÓRIA</t>
  </si>
  <si>
    <t>MÊS 01</t>
  </si>
  <si>
    <t>MÊS 02</t>
  </si>
  <si>
    <t>5.1</t>
  </si>
  <si>
    <t>5.2</t>
  </si>
  <si>
    <t>6.1</t>
  </si>
  <si>
    <t>7.1</t>
  </si>
  <si>
    <t>6.2</t>
  </si>
  <si>
    <t>MÊS 03</t>
  </si>
  <si>
    <t>1.2</t>
  </si>
  <si>
    <t>4.2</t>
  </si>
  <si>
    <t>4.3</t>
  </si>
  <si>
    <t>6.3</t>
  </si>
  <si>
    <t>m²</t>
  </si>
  <si>
    <t>APILOAMENTO DO FUNDO DE VALAS COM SOQUETE</t>
  </si>
  <si>
    <t>m³</t>
  </si>
  <si>
    <t xml:space="preserve">BDI = </t>
  </si>
  <si>
    <t>3.2</t>
  </si>
  <si>
    <t>-</t>
  </si>
  <si>
    <t>4.4</t>
  </si>
  <si>
    <t>5.3</t>
  </si>
  <si>
    <t>SEINFRA</t>
  </si>
  <si>
    <t>ED-49619</t>
  </si>
  <si>
    <t>ED-49812</t>
  </si>
  <si>
    <t>LASTRO DE CONCRETO MAGRO, INCLUSIVE TRANSPORTE, LANÇAMENTO E ADENSAMENTO</t>
  </si>
  <si>
    <t>ED-51107</t>
  </si>
  <si>
    <t>ED-51093</t>
  </si>
  <si>
    <t>ED-49810</t>
  </si>
  <si>
    <t>ED-50668</t>
  </si>
  <si>
    <t>ED-50727</t>
  </si>
  <si>
    <t>ED-50330</t>
  </si>
  <si>
    <t>FÍSICO/
FINANCEIRO</t>
  </si>
  <si>
    <t>MEMÓRIA DE CÁLCULO</t>
  </si>
  <si>
    <t>PLANILHA ORÇAMENTÁRIA DE CUSTOS</t>
  </si>
  <si>
    <t>CDIGO</t>
  </si>
  <si>
    <t>2.2</t>
  </si>
  <si>
    <t>2.3</t>
  </si>
  <si>
    <t>3.3</t>
  </si>
  <si>
    <t>5.4</t>
  </si>
  <si>
    <t>ED-49787</t>
  </si>
  <si>
    <t>ED-49644</t>
  </si>
  <si>
    <t>ED-48231</t>
  </si>
  <si>
    <t>ED-50762</t>
  </si>
  <si>
    <t>ED-50542</t>
  </si>
  <si>
    <t>ED-50771</t>
  </si>
  <si>
    <t>ED-9081</t>
  </si>
  <si>
    <t>ED-50451</t>
  </si>
  <si>
    <t>ED-50452</t>
  </si>
  <si>
    <t>ED-50667</t>
  </si>
  <si>
    <t>ED-50678</t>
  </si>
  <si>
    <t>ED-48182</t>
  </si>
  <si>
    <t>ED-48183</t>
  </si>
  <si>
    <t>ED-48189</t>
  </si>
  <si>
    <t>ED-50326</t>
  </si>
  <si>
    <t>ED-50331</t>
  </si>
  <si>
    <t>ED-50289</t>
  </si>
  <si>
    <t>ED-49230</t>
  </si>
  <si>
    <t>ED-49527</t>
  </si>
  <si>
    <t>SERVIÇOS PRELIMINARES</t>
  </si>
  <si>
    <t>TRABALHOS EM TERRA</t>
  </si>
  <si>
    <t>ESCAVAÇÃO MANUAL DE VALAS H &lt;= 1,50 M</t>
  </si>
  <si>
    <t>ESTRUTURAS EM CONCRETO ARMADO</t>
  </si>
  <si>
    <t>FUNDAÇÃO - SAPATAS E PILARES DE ARRANQUE</t>
  </si>
  <si>
    <t>FORMA E DESFORMA DE TÁBUA E SARRAFO, REAPROVEITAMENTO (3X) (FUNDAÇÃO)</t>
  </si>
  <si>
    <t>FORNECIMENTO DE CONCRETO ESTRUTURAL, PREPARADO EM OBRA COM BETONEIRA, COM FCK 25MPA ,INCLUSIVE LANÇAMENTO, ADENSAMENTO E ACABAMENTO (FUNDAÇÃO)</t>
  </si>
  <si>
    <t>FUNDAÇÃO - VIGAS BALDRAME</t>
  </si>
  <si>
    <t>FORMA E DESFORMA DE COMPENSADO RESINADO, ESP. 10MM, REAPROVEITAMENTO (3X), EXCLUSIVE ESCORAMENTO</t>
  </si>
  <si>
    <t>FORNECIMENTO DE CONCRETO ESTRUTURAL, PREPARADO EM OBRA, COM FCK 25MPA, INCLUSIVE LANÇAMENTO, ADENSAMENTO E ACABAMENTO</t>
  </si>
  <si>
    <t>VEDAÇÕES, PISOS, COBERTURAS, ESQUADRIAS, ACABAMENTOS E ACESSÓRIOS</t>
  </si>
  <si>
    <t>ALVENARIAS/REVESTIMENTOS</t>
  </si>
  <si>
    <t>CHAPISCO COM ARGAMASSA, TRAÇO 1:3 (CIMENTO E AREIA), ESP. 5MM, APLICADO EM ALVENARIA/ESTRUTURA DE CONCRETO COM COLHER, PREPARO MECÂNICO</t>
  </si>
  <si>
    <t>REVESTIMENTO COM ARGAMASSA EM CAMADA ÚNICA, APLICADO EM PAREDE, TRAÇO 1:3 (CIMENTO E AREIA), ESP. 20MM, APLICAÇÃO MANUAL, PREPARO MECÂNICO</t>
  </si>
  <si>
    <t>PISOS</t>
  </si>
  <si>
    <t>REVESTIMENTO COM CERÂMICA APLICADO EM PISO, ACABAMENTO ESMALTADO, AMBIENTE INTERNO, PADRÃO EXTRA, DIMENSÃO DA PEÇA ATÉ 2025 CM2, PEI V, ASSENTAMENTO COM ARGAMASSA INDUSTRIALIZADA, INCLUSIVE REJUNTAMENTO</t>
  </si>
  <si>
    <t>RODAPÉ COM REVESTIMENTO EM CERÂMICA ESMALTADA COMERCIAL, ALTURA 10CM, PE IV, ASSENTAMENTO COM ARGAMASSA INDUSTRIALIZADA, INCLUSIVE REJUNTAMENTO</t>
  </si>
  <si>
    <t>REVESTIMENTO COM CERÂMICA APLICADO EM PAREDE, ACABAMENTO ESMALTADO, AMBIENTE INTERNO/EXTERNO, PADRÃO EXTRA, DIMENSÃO DA PEÇA ATÉ 2025 CM2, PEIIII, ASSENTAMENTO COM ARGAMASSA INDUSTRIALIZADA, INCLUSIVE REJUNTAMENTO</t>
  </si>
  <si>
    <t>PINTURA</t>
  </si>
  <si>
    <t>PINTURA ACRÍLICA EM TETO, DUAS (2) DEMÃOS, EXCLUSIVE SELADOR ACRÍLICO E MASSA ACRÍLICA/CORRIDA (PVA)</t>
  </si>
  <si>
    <t>COBERTURA</t>
  </si>
  <si>
    <t>CHAPIM METÁLICO, COM PINGADEIRA, CHAPA GALVANIZADA Nº24, DESENVOLVIMENTO = 35 CM</t>
  </si>
  <si>
    <t>RUFO E CONTRA-RUFO DE CHAPA GALVANIZADA Nº.24, DESENVOLVIMENTO = 33 CM</t>
  </si>
  <si>
    <t>CONDUTOR DE AP DO TELHADO EM TUBO PVC ESGOTO, INCLUSIVE CONEXÕES E SUPORTES, 100 MM</t>
  </si>
  <si>
    <t>ESQUADRIAS E ACESSÓRIOS</t>
  </si>
  <si>
    <t>DISPENSER EM PLÁSTICO PARA PAPEL TOALHA 2 OU 3 FOLHAS</t>
  </si>
  <si>
    <t>PAPELEIRA PLASTICA TIPO DISPENSER PARA PAPEL HIGIENICO ROLAO</t>
  </si>
  <si>
    <t>SABONETEIRA PLASTICA TIPO DISPENSER PARA SABONETE LIQUIDO COM RESERVATORIO 1500 ML</t>
  </si>
  <si>
    <t>TORNEIRA METÁLICA PARA LAVATÓRIO, ACABAMENTO CROMADO, COM AREJADOR, APLICAÇÃO DE MESA, INCLUSIVE ENGATE FLEXÍVEL METÁLICO, FORNECIMENTO E INSTALAÇÃO</t>
  </si>
  <si>
    <t>TORNEIRA METÁLICA PARA PIA, ACABAMENTO CROMADO, COM AREJADOR, APLICAÇÃO DE PAREDE, INCLUSIVE FORNECIMENTO E INSTALAÇÃO</t>
  </si>
  <si>
    <t>TORNEIRA METÁLICA PARA TANQUE, ACABAMENTO CROMADO, INCLUSIVE ENGATE FLEXÍVEL METÁLICO, FORNECIMENTO E INSTALAÇÃO</t>
  </si>
  <si>
    <t>TANQUE DE LOUÇA BRANCA COM COLUNA, CAPACIDADE 22 LITROS, INCLUSIVE ACESSÓRIOS DE FIXAÇÃO, FORNECIMENTO, INSTALAÇÃO E REJUNTAMENTO, EXCLUSIVE TORNEIRA, VÁLVULA DE ESCOAMENTO E SIFÃO</t>
  </si>
  <si>
    <t>INSTALAÇÕES ELÉTRICAS</t>
  </si>
  <si>
    <t>INSTALAÇÕES HIDROSSANITÁRIAS</t>
  </si>
  <si>
    <t>LIMPEZA DE OBRA</t>
  </si>
  <si>
    <t>uma unidade</t>
  </si>
  <si>
    <t>ED-48298</t>
  </si>
  <si>
    <t>CORTE, DOBRA E MONTAGEM DE AÇO CA-50/60</t>
  </si>
  <si>
    <t>kg</t>
  </si>
  <si>
    <t>SUPERESTRUTURA - PILARES E VIGAS</t>
  </si>
  <si>
    <t>ALVENARIA DE VEDAÇÃO COM TIJOLO CERÂMICO FURADO, ESP. 9CM, PARA REVESTIMENTO, INCLUSIVE ARGAMASSA PARA ASSENTAMENTO</t>
  </si>
  <si>
    <t>mesma área de chapisco das paredes</t>
  </si>
  <si>
    <t>ED-13345</t>
  </si>
  <si>
    <t>LUMINÁRIA ARANDELA TIPO MEIA-LUA COMPLETA, DIÂMETRO 25 CM, PARA UMA (1) LÂMPADA LED, POTÊNCIA 15W, BULBO A65, FORNECIMENTO E INSTALAÇÃO, INCLUSIVE BASE E LÂMPADA</t>
  </si>
  <si>
    <t>SUPRESSOR DE SURTO PARA PROTEÇÃO PRIMÁRIA EM QGD, ATÉ 1,5 KV - 5 KA</t>
  </si>
  <si>
    <t>a instalar no quadro de distribuição de circuitos</t>
  </si>
  <si>
    <t>DISJUNTOR MONOPOLAR TERMOMAGNÉTICO 5KA, DE 16A</t>
  </si>
  <si>
    <t>u</t>
  </si>
  <si>
    <t>m</t>
  </si>
  <si>
    <t>ED-50221</t>
  </si>
  <si>
    <t>PONTO DE ÁGUA FRIA EMBUTIDO, INCLUINDO TUBO DE PVC RÍGIDO SOLDÁVEL E CONEXÕES</t>
  </si>
  <si>
    <t>a instalar conforme posição indicada no projeto arquitetônico</t>
  </si>
  <si>
    <t>ED-50000</t>
  </si>
  <si>
    <t>REGISTRO DE ESFERA, TIPO PVC SOLDÁVEL DN 25MM (3/4"), INCLUSIVE VOLANTE PARA ACIONAMENTO</t>
  </si>
  <si>
    <t>a instalar na entrada de água fria da caixa d'água</t>
  </si>
  <si>
    <t>ED-49989</t>
  </si>
  <si>
    <t>REGISTRO DE GAVETA, TIPO BASE, ROSCÁVEL 3/4" (PARA TUBO SOLDÁVEL OU PPR DN 25MM/CPVC DN 22MM), INCLUSIVE ACABAMENTO (PADRÃO MÉDIO) E CANOPLA CROMADO</t>
  </si>
  <si>
    <t>ED-50225</t>
  </si>
  <si>
    <t>PONTO DE ESGOTO, INCLUINDO TUBO DE PVC RÍGIDO SOLDÁVEL DE 100 MM E CONEXÕES (VASO SANITÁRIO)</t>
  </si>
  <si>
    <t>ED-50223</t>
  </si>
  <si>
    <t>PONTO DE ESGOTO, INCLUINDO TUBO DE PVC RÍGIDO SOLDÁVEL DE 40 MM E CONEXÕES (LAVATÓRIOS, MICTÓRIOS, RALOS SIFONADOS, ETC.)</t>
  </si>
  <si>
    <t>ED-50224</t>
  </si>
  <si>
    <t>PONTO DE ESGOTO, INCLUINDO TUBO DE PVC RÍGIDO SOLDÁVEL DE 50 MM E CONEXÕES (PIAS DE COZINHA, MÁQUINAS DE LAVAR, ETC.)</t>
  </si>
  <si>
    <t>ED-49939</t>
  </si>
  <si>
    <t>CAIXA DE GORDURA PRÉ-FABRICADA SIMPLES VOL. 31 LITROS</t>
  </si>
  <si>
    <t>ED-8845</t>
  </si>
  <si>
    <t>FORNECIMENTO E ASSENTAMENTO DE TUBO PVC RÍGIDO, VENTILAÇÃO, PBV - SÉRIE NORMAL, DN 50 MM (2"), INCLUSIVE CONEXÕES</t>
  </si>
  <si>
    <t>ED-49887</t>
  </si>
  <si>
    <t>CAIXA DE ESGOTO DE INSPEÇÃO/PASSAGEM EM ALVENARIA (60X60X80CM), REVESTIMENTO EM ARGAMASSA COM ADITIVO IMPERMEABILIZANTE, COM TAMPA DE CONCRETO, INCLUSIVE ESCAVAÇÃO, REATERRO E TRANSPORTE E RETIRADA DO MATERIAL ESCAVADO (EM CAÇAMBA)</t>
  </si>
  <si>
    <t>LIMPEZA FINAL PARA ENTREGA DA OBRA</t>
  </si>
  <si>
    <t>ED-49962</t>
  </si>
  <si>
    <t>RALO SEMI- HEMISFÉRICO TIPO ABACAXI D = 100 MM</t>
  </si>
  <si>
    <t>a instalar no topo dos tubos de descida de águas pluviais</t>
  </si>
  <si>
    <t>MÊS 04</t>
  </si>
  <si>
    <t>VALOR:</t>
  </si>
  <si>
    <t>CRONOGRAMA FÍSICO-FINANCEIRO</t>
  </si>
  <si>
    <t>FORNECIMENTO DE CONCRETO ESTRUTURAL, PREPARADO EM OBRA COM BETONEIRA, COM FCK 25 MPA, INCLUSIVE LANÇAMENTO, ADENSAMENTO E ACABAMENTO (FUNDAÇÃO)</t>
  </si>
  <si>
    <t>FORNECIMENTO DE CONCRETO ESTRUTURAL, PREPARADO EM OBRA COM BETONEIRA, COM FCK 25MPA, INCLUSIVE LANÇAMENTO, ADENSAMENTO E ACABAMENTO (FUNDAÇÃO)</t>
  </si>
  <si>
    <t>8.1</t>
  </si>
  <si>
    <t>ED-50514</t>
  </si>
  <si>
    <t>PREPARAÇÃO PARA EMASSAMENTO OU PINTURA (LÁTEX/ACRÍLICA) EM PAREDE, INCLUSIVE UMA (1) DEMÃO DE SELADOR ACRÍLICO</t>
  </si>
  <si>
    <t>ED-50266</t>
  </si>
  <si>
    <t>7.2</t>
  </si>
  <si>
    <t>ESPELHO (40X60CM) ESP.4MM INCLUSIVE FIXAÇÃO COM PARAFUSO FINESSON - FORNECIMENTO E INSTALAÇÃO</t>
  </si>
  <si>
    <t>ED-51152</t>
  </si>
  <si>
    <t>LUMINÁRIA PLAFON REDONDO DE VIDRO JATEADO REDONDO COMPLETA, DIÂMETRO 25 CM, PARA UMA (1) LÂMPADA LED, POTÊNCIA 15W, BULBO A65, FORNECIMENTO E INSTALAÇÃO, INCLUSIVE BASE E LÂMPADA</t>
  </si>
  <si>
    <t>ED-13357</t>
  </si>
  <si>
    <t>área externa</t>
  </si>
  <si>
    <t>área interna da edificação</t>
  </si>
  <si>
    <t>área interna e externa</t>
  </si>
  <si>
    <t>CONJUNTO DE UMA (1) TOMADA PADRÃO, TRÊS (3) POLOS, CORRENTE 10A, TENSÃO 250V, (2P+T/10A-250V), COM PLACA 4"X2" DE UM (1) POSTO, INCLUSIVE FORNECIMENTO, INSTALAÇÃO, SUPORTE, MÓDULO E PLACA</t>
  </si>
  <si>
    <t>ED-15748</t>
  </si>
  <si>
    <t>ADAPTADOR SOLDÁVEL DE PVC MARROM COM FLANGES E ANEL PARA CAIXA DÁGUA Ø 25 MM X 3/4"</t>
  </si>
  <si>
    <t>ED-49845</t>
  </si>
  <si>
    <t>REGISTRO DE ESFERA, TIPO PVC SOLDÁVEL DN 32MM (1"), INCLUSIVE VOLANTE PARA ACIONAMENTO</t>
  </si>
  <si>
    <t>ED-50001</t>
  </si>
  <si>
    <t xml:space="preserve"> alimentação das caixas d´água </t>
  </si>
  <si>
    <t>ADAPTADOR SOLDÁVEL DE PVC MARROM COM FLANGES E ANEL PARA CAIXA DÁGUA Ø 32 MM X 1"</t>
  </si>
  <si>
    <t>ED-49846</t>
  </si>
  <si>
    <t>REGISTRO DE PRESSÃO, TIPO BASE, ROSCÁVEL 3/4" (PARA TUBO SOLDÁVEL OU PPR DN 25MM/CPVC DN 22MM), INCLUSIVE ACABAMENTO (PADRÃO MÉDIO) E CANOPLA CROMADOS</t>
  </si>
  <si>
    <t>ED-49965</t>
  </si>
  <si>
    <t>a instalar nos chuveiros</t>
  </si>
  <si>
    <t>FORNECIMENTO E ASSENTAMENTO DE TUBO PVC RÍGIDO SOLDÁVEL, ÁGUA FRIA, DN 32 MM (1") , INCLUSIVE CONEXÕES</t>
  </si>
  <si>
    <t>ED-50020</t>
  </si>
  <si>
    <t>para alimentação das colunas</t>
  </si>
  <si>
    <t>FORNECIMENTO E COLOCAÇÃO DE PLACA DE OBRA EM CHAPA
GALVANIZADA #26, ESP. 0,45MM, DIMENSÃO (3X1,5)M, PLOTADA
COM ADESIVO VINÍLICO, AFIXADA COM REBITES 4,8X40MM, EM
ESTRUTURA METÁLICA DE METALON 20X20MM, ESP. 1,25MM,
INCLUSIVE SUPORTE EM EUCALIPTO AUTOCLAVADO PINTADO
COM TINTA PVA DUAS (2) DEMÃOS</t>
  </si>
  <si>
    <t>ED-28427</t>
  </si>
  <si>
    <t>LOCAÇÃO DE OBRA COM GABARITO DE TÁBUAS CORRIDAS
PONTALETADAS A CADA 2,00M, REAPROVEITAMENTO (2X),
INCLUSIVE ACOMPANHAMENTO DE EQUIPE TOPOGRÁFICA PARA
MARCAÇÃO DE PONTO TOPOGRÁFICO</t>
  </si>
  <si>
    <t>ED-17989</t>
  </si>
  <si>
    <t>PINTURA ACRÍLICA EM PAREDE, DUAS (2) DEMÃOS, EXCLUSIVE SELADOR ACRÍLICO E MASSA ACRÍLICA/CORRIDA (PVA)</t>
  </si>
  <si>
    <t>CHUVEIRO ELÉTRICO BRANCO, TENSÃO 127V/220V, POTÊNCIA 4600W/5500W, INCLUSIVE BRAÇO, FORNECIMENTO E INSTALAÇÃO</t>
  </si>
  <si>
    <t>ED-16344</t>
  </si>
  <si>
    <t>un</t>
  </si>
  <si>
    <t>9.1</t>
  </si>
  <si>
    <t>9.2</t>
  </si>
  <si>
    <t>9.3</t>
  </si>
  <si>
    <t>INSTALAÇÃO DE REDE ESTRUTURADA</t>
  </si>
  <si>
    <t>10.1</t>
  </si>
  <si>
    <t>10.2</t>
  </si>
  <si>
    <t>11.1</t>
  </si>
  <si>
    <t xml:space="preserve">un </t>
  </si>
  <si>
    <t>CABO UTP 4 PARES CATEGORIA 6 COM REVESTIMENTO EXTERNO NÃO PROPAGANTE A CHAMA</t>
  </si>
  <si>
    <t>ED-48365</t>
  </si>
  <si>
    <t>ED-48363</t>
  </si>
  <si>
    <t>CABO COAXIAL RG-59-75 OHMS</t>
  </si>
  <si>
    <t>CONJUNTO DE DUAS (2) TOMADAS DE DADOS (CONECTOR RJ45
CAT.6E), COM PLACA 4"X2" DE DOIS (2) POSTOS, INCLUSIVE
FORNECIMENTO, INSTALAÇÃO, SUPORTE, MÓDULO E PLACA</t>
  </si>
  <si>
    <t>ED-15762</t>
  </si>
  <si>
    <t>CONJUNTO DE DUAS (2) TOMADAS TELEFÔNICAS (CONECTOR RJ11), COM PLACA 4"X4" DE DOIS (2) POSTOS, INCLUSIVE FORNECIMENTO, INSTALAÇÃO, SUPORTE, MÓDULO E PLACA</t>
  </si>
  <si>
    <t>ED-15795</t>
  </si>
  <si>
    <t>CONJUNTO DE UMA (1) TOMADA DE ANTENA (CONECTOR COAXIAL), COM PLACA 4"X2" DE UM (1) POSTO, INCLUSIVE FORNECIMENTO, INSTALAÇÃO, SUPORTE, MÓDULO E PLACA</t>
  </si>
  <si>
    <t>ED-15753</t>
  </si>
  <si>
    <t>CAIXA DE PASSAGEM EM ALVENARIA E TAMPA DE CONCRETO, FUNDO DE BRITA, TIPO 1, 30 X 30 X 40 CM, INCLUSIVE ESCAVAÇÃO, REATERRO E BOTA-FORA</t>
  </si>
  <si>
    <t>ED-49168</t>
  </si>
  <si>
    <t>ED-49215</t>
  </si>
  <si>
    <t xml:space="preserve">CAIXA DE PASSAGEM 20 x 20 CM EM CHAPA DE FERRO COM
TAMPA CEGA PARA TV 20x20x10cm       </t>
  </si>
  <si>
    <t>ELETRODUTO FLEXÍVEL CORRUGADO, PVC, ANTI-CHAMA, DN 32MM (1"), APLICADO EM ALVENARIA, INCLUSIVE RASGO</t>
  </si>
  <si>
    <t>ED-49415</t>
  </si>
  <si>
    <t>10.3</t>
  </si>
  <si>
    <t>10.4</t>
  </si>
  <si>
    <t>10.5</t>
  </si>
  <si>
    <t>10.6</t>
  </si>
  <si>
    <t>10.7</t>
  </si>
  <si>
    <t>ADMINISTRAÇÃO LOCAL, CANTEIRO DE OBRAS E MOBILIZAÇÃO E DESMOBILIZAÇÃO</t>
  </si>
  <si>
    <t>LIMPEZA DE TERRENO, INCLUSIVE CAPINA, RASTELAMENTO COM AFASTAMENTO ATÉ VINTE (20) METROS E QUEIMA CONTROLADA</t>
  </si>
  <si>
    <t>ED-50703</t>
  </si>
  <si>
    <t>%</t>
  </si>
  <si>
    <t>BARRACÃO DE OBRA PARA DEPÓSITO E FERRAMENTARIA TIPO-I, ÁREA INTERNA 14,52M2, EM CHAPA DE COMPENSADO RESINADO, INCLUSIVE MOBILIÁRIO (OBRA DE PEQUENO PORTE, EFETIVO ATÉ 30 HOMENS), PADRÃO DER-MG</t>
  </si>
  <si>
    <t>ED-50128</t>
  </si>
  <si>
    <t>8.2</t>
  </si>
  <si>
    <t>2.4</t>
  </si>
  <si>
    <t>7.3</t>
  </si>
  <si>
    <t>7.4</t>
  </si>
  <si>
    <t>7.5</t>
  </si>
  <si>
    <t>7.6</t>
  </si>
  <si>
    <t>10.8</t>
  </si>
  <si>
    <t>2.5</t>
  </si>
  <si>
    <t>2.6</t>
  </si>
  <si>
    <t>FORNECIMENTO E ASSENTAMENTO DE TUBO PVC RÍGIDO, COLETOR DE ESGOTO LISO (JEI), DN 100 MM (4"), INCLUSIVE CONEXÕES</t>
  </si>
  <si>
    <t>ED-50105</t>
  </si>
  <si>
    <t>Área de chapisco/reboco de paredes e platibanda deduzidas os ambientes com revestimento cerâmico nas paredes.</t>
  </si>
  <si>
    <t>ED-13852</t>
  </si>
  <si>
    <t xml:space="preserve">COBERTURA EM TELHA METÁLICA GALVANIZADA ONDULADA,
TIPO SIMPLES, ESP. 0,50MM, ACABAMENTO NATURAL, INCLUSIVE
ACESSÓRIOS PARA FIXAÇÃO, FORNECIMENTO E INSTALAÇÃO 
</t>
  </si>
  <si>
    <t xml:space="preserve">Área do piso externo + àrea interna da edificação </t>
  </si>
  <si>
    <t>1 no DML - conforme projeto arquitetônico</t>
  </si>
  <si>
    <t>1 no DML- conforme projeto arquitetônico</t>
  </si>
  <si>
    <t xml:space="preserve"> CONJUNTO DE DUAS (2) TOMADAS PADRÃO, TRÊS (3) POLOS,
CORRENTE 20A, TENSÃO 250V, (2P+T/20A-250V), COM PLACA 4"X2"
DE DOIS (2) POSTOS, INCLUSIVE FORNECIMENTO, INSTALAÇÃO,
SUPORTE, MÓDULO E PLACA</t>
  </si>
  <si>
    <t>ED-15756</t>
  </si>
  <si>
    <t>ED-15115</t>
  </si>
  <si>
    <t>9.4</t>
  </si>
  <si>
    <t>9.5</t>
  </si>
  <si>
    <t xml:space="preserve"> REGISTRO DE ESFERA, TIPO PVC SOLDÁVEL DN 50MM (1.1/2"),
INCLUSIVE VOLANTE PARA ACIONAMENTO</t>
  </si>
  <si>
    <t>ED-50003</t>
  </si>
  <si>
    <t xml:space="preserve">extravasor/limpeza </t>
  </si>
  <si>
    <t>a instalar nos barriletes</t>
  </si>
  <si>
    <t>a instalar na saída dos barriletes</t>
  </si>
  <si>
    <t xml:space="preserve"> ADAPTADOR SOLDÁVEL DE PVC MARROM COM FLANGES E ANEL
PARA CAIXA DÁGUA Ø 50 MM X 1 1/2"</t>
  </si>
  <si>
    <t>ED-49848</t>
  </si>
  <si>
    <t xml:space="preserve"> CAIXA SIFONADA EM PVC COM GRELHA QUADRADA150 X 150 X 50
MM</t>
  </si>
  <si>
    <t>ED-50007</t>
  </si>
  <si>
    <t>para lavatórios, ralos secos, tanques.</t>
  </si>
  <si>
    <t>pia da cozinha/copa</t>
  </si>
  <si>
    <t>PROJETOS COMPLEMENTARES (EXECUTIVO)</t>
  </si>
  <si>
    <t>CO-27422</t>
  </si>
  <si>
    <t>CO-27426</t>
  </si>
  <si>
    <t>CO-27473</t>
  </si>
  <si>
    <t>CO-27427</t>
  </si>
  <si>
    <t>CO-27433</t>
  </si>
  <si>
    <t>CO-27431</t>
  </si>
  <si>
    <t>CO-27430</t>
  </si>
  <si>
    <t>CO-27468</t>
  </si>
  <si>
    <t>2.7</t>
  </si>
  <si>
    <t>2.8</t>
  </si>
  <si>
    <t>6.1.1</t>
  </si>
  <si>
    <t>6.1.2</t>
  </si>
  <si>
    <t>6.1.3</t>
  </si>
  <si>
    <t>6.2.1</t>
  </si>
  <si>
    <t>6.2.2</t>
  </si>
  <si>
    <t>6.2.3</t>
  </si>
  <si>
    <t>6.3.1</t>
  </si>
  <si>
    <t>6.3.2</t>
  </si>
  <si>
    <t>6.3.3</t>
  </si>
  <si>
    <t>8.3</t>
  </si>
  <si>
    <t>8.4</t>
  </si>
  <si>
    <t>8.5</t>
  </si>
  <si>
    <t>8.6</t>
  </si>
  <si>
    <t>8.7</t>
  </si>
  <si>
    <t>8.8</t>
  </si>
  <si>
    <t>8.9</t>
  </si>
  <si>
    <t>8.10</t>
  </si>
  <si>
    <t>8.11</t>
  </si>
  <si>
    <t>8.12</t>
  </si>
  <si>
    <t>8.13</t>
  </si>
  <si>
    <t>8.14</t>
  </si>
  <si>
    <t>8.15</t>
  </si>
  <si>
    <t>8.16</t>
  </si>
  <si>
    <t>8.17</t>
  </si>
  <si>
    <t>8.18</t>
  </si>
  <si>
    <t>8.19</t>
  </si>
  <si>
    <t>Somatório das áreas a serem construídas</t>
  </si>
  <si>
    <t>m2</t>
  </si>
  <si>
    <t>ED-48493</t>
  </si>
  <si>
    <t>REMOÇÃO MANUAL DE ESQUADRIA EM MADEIRA, COM REAPROVEITAMENTO, INCLUSIVE REMOÇÃO DE MARCO/ALIZAR/ GUARNIÇÕES, AFASTAMENTO E EMPILHAMENTO, EXCLUSIVE TRANSPORTE E RETIRADA DO MATERIAL REMOVIDO NÃO REAPROVEITÁVEL</t>
  </si>
  <si>
    <t>ED-48497</t>
  </si>
  <si>
    <t>REMOÇÃO MANUAL DE ESQUADRIA METÁLICA, COM REAPROVEITAMENTO, INCLUSIVE MARCO/ALIZAR/GUARNIÇÕES, AFASTAMENTO E EMPILHAMENTO, EXCLUSIVE TRANSPORTE E RETIRADA DO MATERIAL REMOVIDO NÃO REAPROVEITÁVEL</t>
  </si>
  <si>
    <t>ED-48467</t>
  </si>
  <si>
    <t>REMOÇÃO DE LOUÇAS (LAVATÓRIO, BANHEIRA, PIA, VASO SANITÁRIO, TANQUE), COM REAPROVEITAMENTO, INCLUSIVE AFASTAMENTO E EMPILHAMENTO, EXCLUSIVE TRANSPORTE E RETIRADA DO MATERIAL REMOVIDO NÃO REAPROVEITÁVEL</t>
  </si>
  <si>
    <t>ED-48470</t>
  </si>
  <si>
    <t>REMOÇÃO MANUAL DE METAIS COMUNS E ACABAMENTOS ( TORNEIRA, ACABAMENTO PARA REGISTRO, SIFÃO, ENGATE FLEXÍVEL, ETC.), COM REAPROVEITAMENTO, INCLUSIVE AFASTAMENTO E EMPILHAMENTO, EXCLUSIVE TRANSPORTE E RETIRADA DO MATERIAL REMOVIDO NÃO REAPROVEITÁVEL</t>
  </si>
  <si>
    <t>ED-48471</t>
  </si>
  <si>
    <t>REMOÇÃO MANUAL DE METAIS EMBUTIDOS (BASE DE REGISTRO, VÁLVULA DE DESCARGA, TORNEIRA ANTIVANDALISMO, ETC.), COM REAPROVEITAMENTO, INCLUSIVE AFASTAMENTO E EMPILHAMENTO, EXCLUSIVE TRANSPORTE E RETIRADA DO MATERIAL REMOVIDO NÃO REAPROVEITÁVEL</t>
  </si>
  <si>
    <t>1 registro em cada ponto de agua</t>
  </si>
  <si>
    <t>DEMOLIÇÕES</t>
  </si>
  <si>
    <t>ED-48435</t>
  </si>
  <si>
    <t>DEMOLIÇÃO MANUAL DE ALVENARIA DE TIJOLO CERÂMICO OU BLOCO DE CONCRETO, INCLUSIVE AFASTAMENTO E EMPILHAMENTO, EXCLUSIVE TRANSPORTE E RETIRADA DO MATERIAL DEMOLIDO</t>
  </si>
  <si>
    <t>m3</t>
  </si>
  <si>
    <t>ED-48442</t>
  </si>
  <si>
    <t>DEMOLIÇÃO MECANIZADA DE CONCRETO, SEM ARMAÇÃO, COM EQUIPAMENTO ELÉTRICO, INCLUSIVE AFASTAMENTO E EMPILHAMENTO, EXCLUSIVE TRANSPORTE E RETIRADA DO MATERIAL DEMOLIDO</t>
  </si>
  <si>
    <t>ED-48502</t>
  </si>
  <si>
    <t>DEMOLIÇÃO MANUAL DE REVESTIMENTO CERÂMICO, AZULEJO OU LADRILHO HIDRÁULICO, INCLUSIVE AFASTAMENTO E EMPILHAMENTO, EXCLUSIVE DEMOLIÇÃO DO REBOCO OU EMBOÇO, TRANSPORTE E RETIRADA DO MATERIAL DEMOLIDO</t>
  </si>
  <si>
    <t>ED-48514</t>
  </si>
  <si>
    <t>REMOÇÃO MANUAL DE TELHA CERÂMICA, COM REAPROVEITAMENTO, INCLUSIVE AFASTAMENTO E EMPILHAMENTO, EXCLUSIVE TRANSPORTE E RETIRADA DO MATERIAL REMOVIDO NÃO REAPROVEITÁVEL</t>
  </si>
  <si>
    <t>área de telhado</t>
  </si>
  <si>
    <t>ED-48457</t>
  </si>
  <si>
    <t>REMOÇÃO MANUAL DE ENGRADAMENTO PARA TELHA TIPO CERÂMICA OU CONCRETO, INCLUSIVE AFASTAMENTO E EMPILHAMENTO, EXCLUSIVE TRANSPORTE E RETIRADA DO MATERIAL REMOVIDO NÃO REAPROVEITÁVEL</t>
  </si>
  <si>
    <t>ED-51096</t>
  </si>
  <si>
    <t>COMPACTAÇÃO MECANIZADA DE ATERRO COM PLACA VIBRATÓRIA, INCLUSIVE ESPALHAMENTO MANUAL</t>
  </si>
  <si>
    <t>MATERIAL PARA ATERRO</t>
  </si>
  <si>
    <t>PREFEITURA</t>
  </si>
  <si>
    <t>ED-50616</t>
  </si>
  <si>
    <t>PISO EM GRANILITE/MARMORITE, ESP. 8MM, ACABAMENTO LAVADO TIPO FULGET, COR NATURAL, MODULAÇÃO DE 1X1M, INCLUSO JUNTA PLÁSTICA</t>
  </si>
  <si>
    <t>ED-50486</t>
  </si>
  <si>
    <t>EMASSAMENTO EM FORRO DE GESSO COM MASSA CORRIDA ( PVA), UMA (1) DEMÃO, INCLUSIVE LIXAMENTO PARA PINTURA</t>
  </si>
  <si>
    <t>ED-50474</t>
  </si>
  <si>
    <t>EMASSAMENTO EM PAREDE COM MASSA ACRÍLICA, DUAS (2) DEMÃOS, INCLUSIVE LIXAMENTO PARA PINTURA</t>
  </si>
  <si>
    <t>ED-20603</t>
  </si>
  <si>
    <t>FORNECIMENTO DE ESTRUTURA METÁLICA E ENGRADAMENTO METÁLICO, EM AÇO, PARA TELHADO, EXCLUSIVE TELHA, INCLUSIVE FABRICAÇÃO, TRANSPORTE, MONTAGEM E APLICAÇÃO DE FUNDO PREPARADOR ANTICORROSIVO EM SUPERFÍCIE METÁLICA, UMA (1) DEMÃO</t>
  </si>
  <si>
    <t>perímetro da construção</t>
  </si>
  <si>
    <t>ED-50916</t>
  </si>
  <si>
    <t>PORTA METÁLICA 80 X 210 CM , INCLUINDO FECHADURA TIPO EXTERNA E FERRAGENS, CONFORME DETALHE PADRÃO ESCOLAR 4/98 VERSÃO 2005</t>
  </si>
  <si>
    <t>ED-50965</t>
  </si>
  <si>
    <t>ED-50955</t>
  </si>
  <si>
    <t>FORNECIMENTO E ASSENTAMENTO DE JANELA DE CORRER EM FERRO</t>
  </si>
  <si>
    <t>ED-50956</t>
  </si>
  <si>
    <t>FORNECIMENTO E ASSENTAMENTO DE JANELA EM FERRO, TIPO MAXIM-AR, INCLUSIVE FERRAGENS E ACESSÓRIOS</t>
  </si>
  <si>
    <t>ED-51156</t>
  </si>
  <si>
    <t>VIDRO COMUM TRANSPARENTE INCOLOR, ESP. 4MM, INCLUSIVE FIXAÇÃO E VEDAÇÃO COM GUARNIÇÃO/GAXETA DE BORRACHA NEOPRENE, FORNECIMENTO E INSTALAÇÃO, EXCLUSIVE CAIXILHO/PERFIL</t>
  </si>
  <si>
    <t>ED-48343</t>
  </si>
  <si>
    <t>BANCADA EM GRANITO CINZA ANDORINHA E = 3 CM, APOIADA EM CONSOLE DE METALON 20 X 30 MM</t>
  </si>
  <si>
    <t>ED-48533</t>
  </si>
  <si>
    <t>DIVISÓRIA EM GRANITO CINZA ANDORINHA E = 3 CM, INCLUSIVE FERRAGENS EM LATÃO CROMADO</t>
  </si>
  <si>
    <t>ED-50287</t>
  </si>
  <si>
    <t>CUBA EM AÇO INOXIDÁVEL DE EMBUTIR, AISI 304, APLICAÇÃO PARA TANQUE (600X600X400MM), ASSENTAMENTO EM BANCADA, INCLUSIVE VÁLVULA DE ESCOAMENTO DE METAL COM ACABAMENTO CROMADO, SIFÃO DE METAL TIPO COPO COM ACABAMENTO CROMADO, FORNECIMENTO E INSTALAÇÃO</t>
  </si>
  <si>
    <t>ED-50298</t>
  </si>
  <si>
    <t>BACIA SANITÁRIA (VASO) DE LOUÇA CONVENCIONAL, COR BRANCA, INCLUSIVE ACESSÓRIOS DE FIXAÇÃO/VEDAÇÃO, VÁLVULA DE DESCARGA METÁLICA COM ACIONAMENTO DUPLO, TUBO DE LIGAÇÃO DE LATÃO COM CANOPLA, FORNECIMENTO, INSTALAÇÃO E REJUNTAMENTO</t>
  </si>
  <si>
    <t>ED-51002</t>
  </si>
  <si>
    <t>SOLEIRA EM GRANITO, NA COR CINZA ANDORINHA, ESP. 2CM, INCLUSIVE REJUNTAMENTO</t>
  </si>
  <si>
    <t>SOLEIRAS</t>
  </si>
  <si>
    <t>FORNECIMENTO E ASSENTAMENTO DE MARCO EM CHAPA METÁLICA</t>
  </si>
  <si>
    <t>ED-50301</t>
  </si>
  <si>
    <t>BACIA SANITÁRIA (VASO) DE LOUÇA CONVENCIONAL, ACESSÍVEL (PCR/PMR), COR BRANCA, COM INSTALAÇÃO DE SÓCULO NA BASE DA BACIA ACOMPANHANDO A PROJEÇÃO DA BASE, NÃO ULTRAPASSANDO ALTURA DE 5CM, ALTURA MÁXIMA DE 46CM ( BACIA+ASSENTO), INCLUSIVE ACESSÓRIOS DE FIXAÇÃO/ VEDAÇÃO, VÁLVULA DE DESCARGA METÁLICA COM ACIONAMENTO DUPLO, TUBO DE LIGAÇÃO DE LATÃO COM CANOPLA, FORNECIMENTO, INSTALAÇÃO E REJUNTAMENTO, EXCLUSIVE ASSENTO</t>
  </si>
  <si>
    <t>de acordo com projeto de telhado</t>
  </si>
  <si>
    <t>ED-50660</t>
  </si>
  <si>
    <t>CALHA EM CHAPA GALVANIZADA, ESP. 0,65MM (GSG-24), COM DESENVOLVIMENTO DE 100CM, INCLUSIVE IÇAMENTO MANUAL VERTICAL</t>
  </si>
  <si>
    <t>conforme projeto arquitetônico</t>
  </si>
  <si>
    <t>vidros de todas as janelas</t>
  </si>
  <si>
    <t>uma para cada vaso</t>
  </si>
  <si>
    <t>conforme projeto arquitetonico</t>
  </si>
  <si>
    <t>ED-49232</t>
  </si>
  <si>
    <t>DISJUNTOR MONOPOLAR TERMOMAGNÉTICO 5KA, DE 25A</t>
  </si>
  <si>
    <t>ED-49240</t>
  </si>
  <si>
    <t>DISJUNTOR BIPOLAR TERMOMAGNÉTICO 10KA, DE 25A</t>
  </si>
  <si>
    <t>ED-49260</t>
  </si>
  <si>
    <t>DISJUNTOR TRIPOLAR TERMOMAGNÉTICO 10KA, DE 60A</t>
  </si>
  <si>
    <t>ED-49274</t>
  </si>
  <si>
    <t>DISJUNTOR BIPOLAR TERMOMAGNÉTICO 5KA, DE 32A</t>
  </si>
  <si>
    <t>iluminação</t>
  </si>
  <si>
    <t>tomadas</t>
  </si>
  <si>
    <t>ar condicionado</t>
  </si>
  <si>
    <t>chuveiros</t>
  </si>
  <si>
    <t>ED-49502</t>
  </si>
  <si>
    <t>QUADRO DE DISTRIBUIÇÃO PARA 36 MÓDULOS COM BARRAMENTO 100 A</t>
  </si>
  <si>
    <t>ED-50227</t>
  </si>
  <si>
    <t>PONTO DE EMBUTIR PARA UM (1) INTERRUPTOR SIMPLES (10A_x0002_250V), COM PLACA 4"X2" DE UM (1) POSTO, COM ELETRODUTO FLEXÍVEL CORRUGADO, ANTI-CHAMA, DN 25MM (3/4"), EMBUTIDO NA ALVENARIA E CABO DE COBRE FLEXÍVEL, CLASSE 5, ISOLAMENTO TIPO LSHF/ATOX, NÃO HALOGENADO, SEÇÃO 1, 5MM2 (70°C-450/750V), COM DISTÂNCIA DE ATÉ DEZ (10) METROS DO PONTO DE DERIVAÇÃO, INCLUSIVE CAIXA DE LIGAÇÃO, SUPORTE E FIXAÇÃO DO ELETRODUTO COM ENCHIMENTO DO RASGO NA ALVENARIA/CONCRETO COM ARGAMASSA</t>
  </si>
  <si>
    <t>ED-50228</t>
  </si>
  <si>
    <t>PONTO DE EMBUTIR PARA UMA (1) LUMINÁRIA,COM ELETRODUTO DE PVC RÍGIDO ROSCÁVEL, DN 20MM (3/4"), EMBUTIDO NA LAJE E CABO DE COBRE FLEXÍVEL, CLASSE 5, ISOLAMENTO TIPO LSHF/ ATOX, NÃO HALOGENADO, SEÇÃO 1,5MM2 (70°C-450/750V), COM DISTÂNCIA DE ATÉ CINCO (5) METROS DO PONTO DE DERIVAÇÃO, EXCLUSIVE LUMINÁRIA, INCLUSIVE CAIXA DE LIGAÇÃO OCTOGONAL, SUPORTE E FIXAÇÃO DO ELETRODUTO</t>
  </si>
  <si>
    <t>pontos de luminarias</t>
  </si>
  <si>
    <t>ED-50232</t>
  </si>
  <si>
    <t>PONTO DE EMBUTIR PARA UMA (1) TOMADA PADRÃO, TRÊS (3) POLOS (2P+T/10A-250V), COM PLACA 4"X2" DE UM (1) POSTO, COM ELETRODUTO FLEXÍVEL CORRUGADO, ANTI-CHAMA, DN 25MM (3/ 4"), EMBUTIDO NA ALVENARIA E CABO DE COBRE FLEXÍVEL, CLASSE 5, ISOLAMENTO TIPO LSHF/ATOX, NÃO HALOGENADO, SEÇÃO 2,5MM2 (70°C-450/750V), COM DISTÂNCIA DE ATÉ DEZ (10) METROS DO PONTO DE DERIVAÇÃO, INCLUSIVE CAIXA DE LIGAÇÃO, SUPORTE E FIXAÇÃO DO ELETRODUTO COM ENCHIMENTO DO RASGO NA ALVENARIA/CONCRETO COM ARGAMASSA</t>
  </si>
  <si>
    <t>ED-15733</t>
  </si>
  <si>
    <t>CONJUNTO DE UM (1) INTERRUPTOR SIMPLES, CORRENTE 10A, TENSÃO 250V, (10A-250V), COM PLACA 4"X2" DE UM (1) POSTO, INCLUSIVE FORNECIMENTO, INSTALAÇÃO, SUPORTE, MÓDULO E PLACA</t>
  </si>
  <si>
    <t>DISJUNTOR DE PROTEÇÃO DIFERENCIAL RESIDUAL (DR),
BIPOLAR, TIPO DIN, CORRENTE NOMINAL DE 40A, ALTA
SENSIBILIDADE, CORRENTE DIFERENCIAL RESIDUAL NOMINAL
COM ATUAÇÃO DE 30MA</t>
  </si>
  <si>
    <t>ED-7252</t>
  </si>
  <si>
    <t>ELETRODUTO FLEXÍVEL, EM AÇO GALVANIZADO, REVESTIDO EXTERNAMENTE COM PVC PRETO (2"), INCLUSIVE CONEXÕES, SUPORTES E FIXAÇÃO</t>
  </si>
  <si>
    <t>rede de distribuição</t>
  </si>
  <si>
    <t>geral para cada quadro</t>
  </si>
  <si>
    <t>ED-48971</t>
  </si>
  <si>
    <t>CABO DE COBRE FLEXÍVEL, CLASSE 5, ISOLAMENTO TIPO LSHF/ ATOX, NÃO HALOGENADO, ANTICHAMA, TERMOPLÁSTICO, UNIPOLAR, SEÇÃO 16 MM2, 70°C, 450/750V</t>
  </si>
  <si>
    <t>ED-20581</t>
  </si>
  <si>
    <t>ENTRADA DE ENERGIA AÉREA, TIPO C1, PADRÃO CEMIG, CARGA INSTALADA DE ATÉ 15KVA, TRIFÁSICO, COM SAÍDA SUBTERRÂNEA, INCLUSIVE POSTE, CAIXA PARA MEDIDOR, DISJUNTOR, BARRAMENTO, ATERRAMENTO E ACESSÓRIOS</t>
  </si>
  <si>
    <t>a instalar no quadro de distribuição para proteção dos circuitos dos chuveiros e circuitos da áreas molhadas, como cozinha, lavanderia.</t>
  </si>
  <si>
    <t>ED-29742</t>
  </si>
  <si>
    <t>CAIXA D´ÁGUA DE POLIETILENO, CAPACIDADE DE 5.000L, INCLUSIVE TAMPA, TORNEIRA DE BOIA, EXTRAVASOR, TUBO DE LIMPEZA E ACESSÓRIOS, EXCLUSIVE TUBULAÇÃO DE ENTRADA/ SAÍDA DE ÁGUA</t>
  </si>
  <si>
    <t>1 para a rede de esgoto da pia da Cozinha</t>
  </si>
  <si>
    <t>2 para cada banheiro, 1 para lavanderia</t>
  </si>
  <si>
    <t>para atender banheiros</t>
  </si>
  <si>
    <t>rede de esgoto</t>
  </si>
  <si>
    <t>PROJETO EXECUTIVO DE ARQUITETURA</t>
  </si>
  <si>
    <t>PROJETO EXECUTIVO DE DRENAGEM PLUVIAL</t>
  </si>
  <si>
    <t>PROJETO EXECUTIVO DE ENGRADAMENTO METÁLICO</t>
  </si>
  <si>
    <t>PROJETO EXECUTIVO DE ESTRUTURA DE CONCRETO</t>
  </si>
  <si>
    <t>PROJETO EXECUTIVO DE INFRAESTRUTURA DE CABEAMENTO ESTRUTURADO/CFTV/ALARME/SEGURANÇA/SONORIZAÇÃO</t>
  </si>
  <si>
    <t>PROJETO EXECUTIVO DE INSTALAÇÕES ELÉTRICAS</t>
  </si>
  <si>
    <t>PROJETO EXECUTIVO DE INSTALAÇÕES HIDRO SANITÁRIAS</t>
  </si>
  <si>
    <t>PROJETO EXECUTIVO DE PREVENÇÃO E COMBATE A INCÊNDIO</t>
  </si>
  <si>
    <t>9.6</t>
  </si>
  <si>
    <t>9.7</t>
  </si>
  <si>
    <t>9.8</t>
  </si>
  <si>
    <t>9.9</t>
  </si>
  <si>
    <t>9.10</t>
  </si>
  <si>
    <t>9.11</t>
  </si>
  <si>
    <t>9.12</t>
  </si>
  <si>
    <t>9.13</t>
  </si>
  <si>
    <t>9.14</t>
  </si>
  <si>
    <t>9.15</t>
  </si>
  <si>
    <t>9.16</t>
  </si>
  <si>
    <t>9.17</t>
  </si>
  <si>
    <t>9.18</t>
  </si>
  <si>
    <t>9.19</t>
  </si>
  <si>
    <t>7.6.1</t>
  </si>
  <si>
    <t>7.6.2</t>
  </si>
  <si>
    <t>7.6.3</t>
  </si>
  <si>
    <t>7.6.4</t>
  </si>
  <si>
    <t>7.6.5</t>
  </si>
  <si>
    <t>7.6.6</t>
  </si>
  <si>
    <t>7.6.7</t>
  </si>
  <si>
    <t>7.6.8</t>
  </si>
  <si>
    <t>7.6.9</t>
  </si>
  <si>
    <t>7.6.10</t>
  </si>
  <si>
    <t>7.6.11</t>
  </si>
  <si>
    <t>7.6.12</t>
  </si>
  <si>
    <t>7.6.13</t>
  </si>
  <si>
    <t>7.6.14</t>
  </si>
  <si>
    <t>7.6.15</t>
  </si>
  <si>
    <t>7.6.16</t>
  </si>
  <si>
    <t>7.6.17</t>
  </si>
  <si>
    <t>7.6.18</t>
  </si>
  <si>
    <t>7.6.19</t>
  </si>
  <si>
    <t>7.6.20</t>
  </si>
  <si>
    <t>7.6.21</t>
  </si>
  <si>
    <t>7.6.22</t>
  </si>
  <si>
    <t>7.6.23</t>
  </si>
  <si>
    <t>7.6.24</t>
  </si>
  <si>
    <t>7.4.1</t>
  </si>
  <si>
    <t>7.4.2</t>
  </si>
  <si>
    <t>7.4.3</t>
  </si>
  <si>
    <t>7.4.4</t>
  </si>
  <si>
    <t>7.4.5</t>
  </si>
  <si>
    <t>7.4.6</t>
  </si>
  <si>
    <t>7.4.7</t>
  </si>
  <si>
    <t>7.4.8</t>
  </si>
  <si>
    <t>7.5.1</t>
  </si>
  <si>
    <t>7.3.1</t>
  </si>
  <si>
    <t>7.3.2</t>
  </si>
  <si>
    <t>7.3.3</t>
  </si>
  <si>
    <t>7.3.4</t>
  </si>
  <si>
    <t>7.3.5</t>
  </si>
  <si>
    <t>7.2.1</t>
  </si>
  <si>
    <t>7.2.2</t>
  </si>
  <si>
    <t>7.2.3</t>
  </si>
  <si>
    <t>7.2.4</t>
  </si>
  <si>
    <t>7.2.5</t>
  </si>
  <si>
    <t>7.1.1</t>
  </si>
  <si>
    <t>7.1.2</t>
  </si>
  <si>
    <t>7.1.3</t>
  </si>
  <si>
    <t>4.5</t>
  </si>
  <si>
    <t>4.6</t>
  </si>
  <si>
    <t>4.7</t>
  </si>
  <si>
    <t>4.8</t>
  </si>
  <si>
    <t>4.9</t>
  </si>
  <si>
    <t>4.10</t>
  </si>
  <si>
    <t>4.11</t>
  </si>
  <si>
    <t>ED-48160</t>
  </si>
  <si>
    <t>BARRA DE APOIO EM AÇO INOX POLIDO RETA, DN 1.1/4" (31,75MM) , PARA ACESSIBILIDADE (PMR/PCR), COMPRIMENTO 80CM, INSTALADO EM PAREDE, INCLUSIVE FORNECIMENTO, INSTALAÇÃO E ACESSÓRIOS PARA FIXAÇÃO</t>
  </si>
  <si>
    <t>ED-50982</t>
  </si>
  <si>
    <t>PORTÃO DE FERRO PADRÃO, EM CHAPA (TIPO LAMBRI), COLOCADO COM CADEADO</t>
  </si>
  <si>
    <t>ED-50390</t>
  </si>
  <si>
    <t>MOBILIZAÇÃO E DESMOBILIZAÇÃO OBRA DISTANTE DE CENTRO URBANO COM ENTRE 1.000.000,01 E 3.000.000,00</t>
  </si>
  <si>
    <t>ED-49686</t>
  </si>
  <si>
    <t>7.4.9</t>
  </si>
  <si>
    <t>FORRO EM CHAPA DE GESSO ACARTONADA, ESP. 12,5MM, COM FIXAÇÃO DO TIPO ESTRUTURADA EM PERFIL METÁLICO, EXCLUSIVE PERFIL TABICA, SANCA E MOLDURA, INCLUSIVE ACESSÓRIOS E FIXAÇÃO</t>
  </si>
  <si>
    <t>ED-28454</t>
  </si>
  <si>
    <t>PERFIL TABICA GALVANIZADO, TIPO LISA, COM ACABAMENTO EM PINTURA, NA COR BRANCA, PARA FORRO EM CHAPA DE GESSO ACARTONADO, INCLUSIVE ACESSÓRIOS DE FIXAÇÃO</t>
  </si>
  <si>
    <t>MÊS 05</t>
  </si>
  <si>
    <t>MÊS 06</t>
  </si>
  <si>
    <t>MÊS 07</t>
  </si>
  <si>
    <t>MÊS 08</t>
  </si>
  <si>
    <t>REGIÃO/MÊS DE REFERÊNCIA: SEINFRA/REGIÃO TRIÂNGULO E ALTO PARANAÍBA ABRIL/2023 COM DESONERAÇÃO</t>
  </si>
  <si>
    <t xml:space="preserve">Adotado BDI "CONSTRUÇÃO DE EDIFÍCIOS" da planilha de preços SEINFRA/REGIÃOTRIÂNGULO E ALTO PARANAÍBA ABRIL/2023 COM DESONERAÇÃO </t>
  </si>
  <si>
    <t xml:space="preserve"> REMOÇÃO MANUAL DE FORRO DE PLACAS (GESSO, MINERAL,
FIBRA, ISOPOR, COLMEIA, PVC, ETC.), COM REAPROVEITAMENTO,
INCLUSIVE DEMOLIÇÃO ESTRUTURA DE SUSTENTAÇÃO,
AFASTAMENTO E EMPILHAMENTO, EXCLUSIVE TRANSPORTE E
RETIRADA DO MATERIAL REMOVIDO NÃO REAPROVEITÁVEL
</t>
  </si>
  <si>
    <t>ED-48459</t>
  </si>
  <si>
    <t xml:space="preserve"> sala de reunião +  copa +  sala de nebulização + almoxarifado</t>
  </si>
  <si>
    <t>(4,48+3,75+3,75+17,90+6,67+6,67+4,5+8,55+7,16)*0,1</t>
  </si>
  <si>
    <t>10,14+5,10+1,65+1,59+4,18+2,79+7,59+15,39+69,04+13,50+10,34+8,16+9,13+18,25+24,78</t>
  </si>
  <si>
    <t>105,28 * 0,08</t>
  </si>
  <si>
    <t>((266,91+84,43+6,81+6,67+6,67+17,9+3,75+3,75+4,19+4,5+8,55+7,1)*0,06)</t>
  </si>
  <si>
    <t>16,18+6,36+10,4+10,7+8,06+13,24+14,12+12,68+12,85+14,20+10,7+12,17+12,92+25,02+19,86+16,12</t>
  </si>
  <si>
    <t>29,84+29,84+29,24+21,84+21,84+26,46+19,38+20,94+19,38</t>
  </si>
  <si>
    <t>7.1.4</t>
  </si>
  <si>
    <t>MURO DIVISÓRIO TIJOLO FURADO E = 10 CM, REBOCADO E
PINTADO A LATEX H = 2,20 A 2,50 M, INCLUSIVE SAPATA DE
CONCRETO ARMADO FCK = 15 MPA, 50 x 55 CM</t>
  </si>
  <si>
    <t xml:space="preserve">ED-50408 </t>
  </si>
  <si>
    <t>6,37+25,94+33,29+27,78</t>
  </si>
  <si>
    <t>332,54*0,8</t>
  </si>
  <si>
    <t>somatório de áreas dos comodos sem laje maciça.</t>
  </si>
  <si>
    <t>11,22+11,22+16,98+8+8+8,96+12,38+11,70+88,86+11,2+11,5+28,31+13,72+10,45+16,80</t>
  </si>
  <si>
    <t>9,13+16,82+5,6+11,99</t>
  </si>
  <si>
    <t>10*1,5</t>
  </si>
  <si>
    <t>nas áreas molhadas</t>
  </si>
  <si>
    <t>portas dos ambientes novos e troca das esquadrias removidas</t>
  </si>
  <si>
    <t>2*1,5*1+2*2*1</t>
  </si>
  <si>
    <t>3*0,8*0,6</t>
  </si>
  <si>
    <t>divisória sala de vacina</t>
  </si>
  <si>
    <t>um dispenser para cada banheiro/sanitário/lavatório</t>
  </si>
  <si>
    <t>3,9*0,53*2 - bancada CME de esterilização e CME de lavagem + (1,7*0,53)+(1,52*0,53) - bancadas copa/cozinha + 4*4,75*0,5 - prateleiras despensa + 1,20*0,53 - bancada sala de vacina</t>
  </si>
  <si>
    <t>LAVATÓRIO DE LOUÇA BRANCA COM COLUNA, TAMANHO MÉDIO,
INCLUSIVE ACESSÓRIOS DE FIXAÇÃO, VÁLVULA DE ESCOAMENTO
DE METAL COM ACABAMENTO CROMADO, SIFÃO DE METAL TIPO
COPO COM ACABAMENTO CROMADO, FORNECIMENTO,
INSTALAÇÃO E REJUNTAMENTO, EXCLUSIVE TORNEIRA E
ENGATE FLEXÍVEL</t>
  </si>
  <si>
    <t>ED-50282</t>
  </si>
  <si>
    <t>um para cada lavatório</t>
  </si>
  <si>
    <t xml:space="preserve">1 para banheiro de funcionários feminino, 1 para o banheiro de funcionário marsculino, </t>
  </si>
  <si>
    <t xml:space="preserve">BEBEDOURO GEMINADO MG-F 80 INOX </t>
  </si>
  <si>
    <t>ED-48169</t>
  </si>
  <si>
    <t xml:space="preserve">2,85*2,4 - Portão de entrada de veículos </t>
  </si>
  <si>
    <t>1 quadro para área existente e 1 quadro para área a construir</t>
  </si>
  <si>
    <t>a instalar para atender á ESF</t>
  </si>
  <si>
    <t>TANQUE DE EXPURGO ACO INOXIDAVEL-TAMPA LAT. 500x500mm</t>
  </si>
  <si>
    <t>SBC</t>
  </si>
  <si>
    <t>sala de curativos, CME de lavagem</t>
  </si>
  <si>
    <t xml:space="preserve">a instalar para atender aos lavatórios, vasos sanitários, chuveiros, duchas, tanques, pias e bebedouros indicados no projeto arquitetônico </t>
  </si>
  <si>
    <t>a instalar nas colunas de agua fria</t>
  </si>
  <si>
    <t>para os vasos sanitários e pia de despejos</t>
  </si>
  <si>
    <t>para ventilação da rede de esgoto - 7 pontos de ventilação de 5m.</t>
  </si>
  <si>
    <t>PREFEITURA MUNICIPAL DE BONFINÓPOLIS DE MINAS</t>
  </si>
  <si>
    <t>OBRA: REFORMA E AMPLIAÇÃO DO PSF VANDEIR JOSÉ BRANDÃO</t>
  </si>
  <si>
    <t>LOCAL: RUA SÃO JOSÉ, 231, CENTRO, BONFINÓPOLIS DE MINAS-MG, CEP 38.650-000</t>
  </si>
  <si>
    <t>4,80+14,39+10,55+6,94+4,90+4,80+1,50+8,24+3,40</t>
  </si>
  <si>
    <t>0,75*2,10*4 porta + 0,6*2,1*4 portas + 1,10*2,10*1 porta + 0,80*2,10*3 portas</t>
  </si>
  <si>
    <t>2,00*1,25*1 janela + 0,90*0,70*1 janela + 1,50*0,50*1 janela</t>
  </si>
  <si>
    <t>3 pias +3 lavatório + 3 vasos sanitário</t>
  </si>
  <si>
    <t>6 torneiras + 6 sifoes</t>
  </si>
  <si>
    <t>Conforme planta de execução e demolição</t>
  </si>
  <si>
    <t>0,60 X 0,60 X 0,60 X 16 - blocos de coroamento, 2,00 x 0,071 x 16 - estacas,  111,66 X 0,25 X 0,35 - vigas baldrame</t>
  </si>
  <si>
    <t>0,60 X 0,60 X 16 - área do fundo das sapatas escavadas + 
111,66 X 0,25  - área do fundo das vigas baldrame escavadas</t>
  </si>
  <si>
    <t>111,66 X 0,30 X 0,15 - volume das vigas baldrame conforme projeto estrutural</t>
  </si>
  <si>
    <t>(111,66 X 0,30 X 2)/3 lados - para as vigas baldrame conforme projeto estrutural</t>
  </si>
  <si>
    <t>0,60 X 0,60 X 0,60 X 0,05 X 16 - blocos de coroamento,  111,66 X 0,25 X 0,05 - vigas baldrame</t>
  </si>
  <si>
    <t>0,60 X 0,60 X 0,60 X 16 - blocos de coroamento, 2,00 x 0,071 x 16 - estacas</t>
  </si>
  <si>
    <t>584,70*2 lados</t>
  </si>
  <si>
    <t>8,04+9,9+9,9+6,94+6,82+16,8+12,28+4,5+28,5+9,1+30,08+12+9,2+6+30,5+16+7,42</t>
  </si>
  <si>
    <t>2,40+2,16+4,23+4,14+3,54+2,87+12,12+13,50+10,34+9,13+3,46+10,58+4,18+7,60</t>
  </si>
  <si>
    <t>(332,54+8%)*2,54</t>
  </si>
  <si>
    <t>111,66*3,2 + 137,93*1,50+2,21*3,2+1,51*3,2+2,36*3,2+0,36*3,2+7,4*3,2+2,34*3,2+1,99*2,2+1,99*2,2+2,1*2,2</t>
  </si>
  <si>
    <t>(16 X 3,20 X 0,30 X 2 lados + 30 x 1,50 x 0,20 x 2 lados) pilares +
(111,66 x 0,30 x 2 lados + 137,93 x 0,20 x 2 lados)/3 - vigas de cobertura</t>
  </si>
  <si>
    <t xml:space="preserve">(111,66X 0,30 X 0,10 + 137,93x0,35x0,10) - vigas de cobertura
(0,10 X 0,30 X 3,20 X 15 + 30 x1,50 x0,20x0,10)  - pilares </t>
  </si>
  <si>
    <t>Conforme projeto arquitetonico</t>
  </si>
  <si>
    <t>cozinha/sala de vacina/CME de lavagem/DML</t>
  </si>
  <si>
    <t>Para cada banheiro acessível</t>
  </si>
  <si>
    <t>DATA:02/07/2024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</si>
</sst>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_(* #,##0.00_);_(* \(#,##0.00\);_(* &quot;-&quot;??_);_(@_)"/>
    <numFmt numFmtId="165" formatCode="&quot;R$&quot;\ #,##0.00"/>
    <numFmt numFmtId="166" formatCode="&quot;R$&quot;\ #,##0.000"/>
    <numFmt numFmtId="167" formatCode="0.0%"/>
  </numFmts>
  <fonts count="36" x14ac:knownFonts="1">
    <font>
      <sz val="10"/>
      <name val="Arial"/>
    </font>
    <font>
      <sz val="11"/>
      <color theme="1"/>
      <name val="Calibri"/>
      <family val="2"/>
      <scheme val="minor"/>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0"/>
      <name val="Arial"/>
      <family val="2"/>
    </font>
    <font>
      <sz val="8"/>
      <name val="Arial"/>
      <family val="2"/>
    </font>
    <font>
      <sz val="8"/>
      <color rgb="FFFF0000"/>
      <name val="Arial"/>
      <family val="2"/>
    </font>
    <font>
      <b/>
      <sz val="8"/>
      <name val="Arial"/>
      <family val="2"/>
    </font>
    <font>
      <sz val="8"/>
      <name val="Calibri"/>
      <family val="2"/>
      <scheme val="minor"/>
    </font>
    <font>
      <b/>
      <sz val="8"/>
      <name val="Calibri"/>
      <family val="2"/>
      <scheme val="minor"/>
    </font>
    <font>
      <sz val="10"/>
      <color rgb="FFFF0000"/>
      <name val="Arial"/>
      <family val="2"/>
    </font>
    <font>
      <b/>
      <sz val="8"/>
      <color indexed="8"/>
      <name val="Arial"/>
      <family val="2"/>
    </font>
    <font>
      <sz val="8"/>
      <color indexed="8"/>
      <name val="Arial"/>
      <family val="2"/>
    </font>
    <font>
      <sz val="8"/>
      <color theme="1"/>
      <name val="Arial"/>
      <family val="2"/>
    </font>
    <font>
      <b/>
      <sz val="8"/>
      <color theme="1"/>
      <name val="Arial"/>
      <family val="2"/>
    </font>
    <font>
      <sz val="8"/>
      <color indexed="12"/>
      <name val="Arial"/>
      <family val="2"/>
    </font>
    <font>
      <sz val="7"/>
      <name val="Arial"/>
      <family val="2"/>
    </font>
    <font>
      <sz val="10"/>
      <name val="Calibri"/>
      <family val="2"/>
      <scheme val="minor"/>
    </font>
    <font>
      <sz val="11"/>
      <color rgb="FF000000"/>
      <name val="Arial"/>
      <family val="2"/>
    </font>
    <font>
      <sz val="10"/>
      <name val="Arial"/>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249977111117893"/>
        <bgColor indexed="64"/>
      </patternFill>
    </fill>
    <fill>
      <patternFill patternType="solid">
        <fgColor indexed="22"/>
        <bgColor indexed="64"/>
      </patternFill>
    </fill>
    <fill>
      <patternFill patternType="solid">
        <fgColor rgb="FFBFBFBF"/>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s>
  <cellStyleXfs count="49">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4" borderId="0" applyNumberFormat="0" applyBorder="0" applyAlignment="0" applyProtection="0"/>
    <xf numFmtId="0" fontId="6" fillId="16" borderId="1" applyNumberFormat="0" applyAlignment="0" applyProtection="0"/>
    <xf numFmtId="0" fontId="7" fillId="17" borderId="2" applyNumberFormat="0" applyAlignment="0" applyProtection="0"/>
    <xf numFmtId="0" fontId="8" fillId="0" borderId="3" applyNumberFormat="0" applyFill="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1" borderId="0" applyNumberFormat="0" applyBorder="0" applyAlignment="0" applyProtection="0"/>
    <xf numFmtId="0" fontId="9" fillId="7" borderId="1" applyNumberFormat="0" applyAlignment="0" applyProtection="0"/>
    <xf numFmtId="0" fontId="10" fillId="3" borderId="0" applyNumberFormat="0" applyBorder="0" applyAlignment="0" applyProtection="0"/>
    <xf numFmtId="0" fontId="11" fillId="22" borderId="0" applyNumberFormat="0" applyBorder="0" applyAlignment="0" applyProtection="0"/>
    <xf numFmtId="0" fontId="2" fillId="23" borderId="4" applyNumberFormat="0" applyFont="0" applyAlignment="0" applyProtection="0"/>
    <xf numFmtId="9" fontId="2" fillId="0" borderId="0" applyFont="0" applyFill="0" applyBorder="0" applyAlignment="0" applyProtection="0"/>
    <xf numFmtId="0" fontId="12" fillId="16" borderId="5" applyNumberFormat="0" applyAlignment="0" applyProtection="0"/>
    <xf numFmtId="164" fontId="2" fillId="0" borderId="0" applyFon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6" applyNumberFormat="0" applyFill="0" applyAlignment="0" applyProtection="0"/>
    <xf numFmtId="0" fontId="17" fillId="0" borderId="7" applyNumberFormat="0" applyFill="0" applyAlignment="0" applyProtection="0"/>
    <xf numFmtId="0" fontId="18" fillId="0" borderId="8" applyNumberFormat="0" applyFill="0" applyAlignment="0" applyProtection="0"/>
    <xf numFmtId="0" fontId="18" fillId="0" borderId="0" applyNumberFormat="0" applyFill="0" applyBorder="0" applyAlignment="0" applyProtection="0"/>
    <xf numFmtId="0" fontId="19" fillId="0" borderId="9" applyNumberFormat="0" applyFill="0" applyAlignment="0" applyProtection="0"/>
    <xf numFmtId="43" fontId="1" fillId="0" borderId="0" applyFont="0" applyFill="0" applyBorder="0" applyAlignment="0" applyProtection="0"/>
    <xf numFmtId="0" fontId="2" fillId="0" borderId="0"/>
    <xf numFmtId="0" fontId="2" fillId="0" borderId="0"/>
    <xf numFmtId="0" fontId="34" fillId="0" borderId="0"/>
    <xf numFmtId="44" fontId="35" fillId="0" borderId="0" applyFont="0" applyFill="0" applyBorder="0" applyAlignment="0" applyProtection="0"/>
  </cellStyleXfs>
  <cellXfs count="290">
    <xf numFmtId="0" fontId="0" fillId="0" borderId="0" xfId="0"/>
    <xf numFmtId="0" fontId="20" fillId="0" borderId="10" xfId="0" applyFont="1" applyBorder="1" applyAlignment="1">
      <alignment vertical="center"/>
    </xf>
    <xf numFmtId="0" fontId="20" fillId="0" borderId="13" xfId="0" applyFont="1" applyBorder="1" applyAlignment="1">
      <alignment vertical="center"/>
    </xf>
    <xf numFmtId="49" fontId="2" fillId="0" borderId="0" xfId="0" applyNumberFormat="1" applyFont="1" applyAlignment="1">
      <alignment horizontal="center" vertical="center"/>
    </xf>
    <xf numFmtId="0" fontId="2" fillId="0" borderId="0" xfId="0" applyFont="1" applyAlignment="1">
      <alignment horizontal="center" vertical="center"/>
    </xf>
    <xf numFmtId="4" fontId="2" fillId="0" borderId="0" xfId="0" applyNumberFormat="1" applyFont="1" applyAlignment="1">
      <alignment horizontal="center" vertical="center"/>
    </xf>
    <xf numFmtId="4" fontId="20" fillId="0" borderId="10" xfId="0" applyNumberFormat="1" applyFont="1" applyBorder="1" applyAlignment="1">
      <alignment horizontal="center" vertical="center" wrapText="1"/>
    </xf>
    <xf numFmtId="0" fontId="2" fillId="0" borderId="12" xfId="0" applyFont="1" applyBorder="1" applyAlignment="1">
      <alignment vertical="center"/>
    </xf>
    <xf numFmtId="0" fontId="2" fillId="0" borderId="13" xfId="0" applyFont="1" applyBorder="1" applyAlignment="1">
      <alignment vertical="center"/>
    </xf>
    <xf numFmtId="0" fontId="2" fillId="0" borderId="17" xfId="0" applyFont="1" applyBorder="1" applyAlignment="1">
      <alignment vertical="center"/>
    </xf>
    <xf numFmtId="49" fontId="20" fillId="0" borderId="12" xfId="0" applyNumberFormat="1" applyFont="1" applyBorder="1" applyAlignment="1">
      <alignment vertical="center"/>
    </xf>
    <xf numFmtId="0" fontId="20" fillId="0" borderId="13" xfId="0" applyFont="1" applyBorder="1" applyAlignment="1">
      <alignment vertical="center" wrapText="1"/>
    </xf>
    <xf numFmtId="4" fontId="2" fillId="0" borderId="13" xfId="0"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left" vertical="center" wrapText="1"/>
    </xf>
    <xf numFmtId="0" fontId="2" fillId="0" borderId="13" xfId="0" applyFont="1" applyBorder="1" applyAlignment="1">
      <alignment horizontal="center" vertical="center"/>
    </xf>
    <xf numFmtId="0" fontId="20" fillId="0" borderId="12" xfId="0" applyFont="1" applyBorder="1" applyAlignment="1">
      <alignment horizontal="left" vertical="center"/>
    </xf>
    <xf numFmtId="0" fontId="20" fillId="0" borderId="0" xfId="0" applyFont="1" applyAlignment="1">
      <alignment vertical="center"/>
    </xf>
    <xf numFmtId="0" fontId="20" fillId="0" borderId="0" xfId="0" applyFont="1" applyAlignment="1">
      <alignment horizontal="left" vertical="center" wrapText="1"/>
    </xf>
    <xf numFmtId="0" fontId="2" fillId="0" borderId="0" xfId="0" applyFont="1" applyAlignment="1">
      <alignment vertical="center" wrapText="1"/>
    </xf>
    <xf numFmtId="4" fontId="2" fillId="0" borderId="17" xfId="0" applyNumberFormat="1" applyFont="1" applyBorder="1" applyAlignment="1">
      <alignment horizontal="center" vertical="center"/>
    </xf>
    <xf numFmtId="4" fontId="20" fillId="0" borderId="13" xfId="0" applyNumberFormat="1" applyFont="1" applyBorder="1" applyAlignment="1">
      <alignment horizontal="center" vertical="center"/>
    </xf>
    <xf numFmtId="49" fontId="2" fillId="0" borderId="16" xfId="0" applyNumberFormat="1" applyFont="1" applyBorder="1" applyAlignment="1">
      <alignment horizontal="center" vertical="center"/>
    </xf>
    <xf numFmtId="0" fontId="2" fillId="0" borderId="19" xfId="0" applyFont="1" applyBorder="1" applyAlignment="1">
      <alignment horizontal="center" vertical="center"/>
    </xf>
    <xf numFmtId="0" fontId="2" fillId="0" borderId="19" xfId="0" applyFont="1" applyBorder="1" applyAlignment="1">
      <alignment horizontal="left" vertical="center" wrapText="1"/>
    </xf>
    <xf numFmtId="0" fontId="20" fillId="0" borderId="18" xfId="0" applyFont="1" applyBorder="1" applyAlignment="1">
      <alignment vertical="center"/>
    </xf>
    <xf numFmtId="49" fontId="2" fillId="0" borderId="18" xfId="0" applyNumberFormat="1" applyFont="1" applyBorder="1" applyAlignment="1">
      <alignment horizontal="center" vertical="center"/>
    </xf>
    <xf numFmtId="0" fontId="20" fillId="0" borderId="0" xfId="0" applyFont="1" applyAlignment="1">
      <alignment vertical="center" wrapText="1"/>
    </xf>
    <xf numFmtId="0" fontId="2" fillId="0" borderId="25" xfId="0" applyFont="1" applyBorder="1" applyAlignment="1">
      <alignment vertical="center" wrapText="1"/>
    </xf>
    <xf numFmtId="0" fontId="2" fillId="0" borderId="16" xfId="0" applyFont="1" applyBorder="1" applyAlignment="1">
      <alignment horizontal="center" vertical="center" wrapText="1"/>
    </xf>
    <xf numFmtId="0" fontId="2" fillId="0" borderId="19" xfId="0" applyFont="1" applyBorder="1" applyAlignment="1">
      <alignment horizontal="center" vertical="center" wrapText="1"/>
    </xf>
    <xf numFmtId="165" fontId="2" fillId="0" borderId="0" xfId="0" applyNumberFormat="1" applyFont="1" applyAlignment="1">
      <alignment horizontal="center" vertical="center" wrapText="1"/>
    </xf>
    <xf numFmtId="165" fontId="20" fillId="0" borderId="0" xfId="0" applyNumberFormat="1" applyFont="1" applyAlignment="1">
      <alignment horizontal="center" vertical="center" wrapText="1"/>
    </xf>
    <xf numFmtId="165" fontId="20" fillId="0" borderId="25" xfId="0" applyNumberFormat="1" applyFont="1" applyBorder="1" applyAlignment="1">
      <alignment horizontal="center" vertical="center" wrapText="1"/>
    </xf>
    <xf numFmtId="0" fontId="20" fillId="0" borderId="25" xfId="0" applyFont="1" applyBorder="1" applyAlignment="1">
      <alignment vertical="center"/>
    </xf>
    <xf numFmtId="165" fontId="2" fillId="0" borderId="23" xfId="0" applyNumberFormat="1" applyFont="1" applyBorder="1" applyAlignment="1">
      <alignment horizontal="center" vertical="center" wrapText="1"/>
    </xf>
    <xf numFmtId="10" fontId="20" fillId="0" borderId="22" xfId="0" applyNumberFormat="1" applyFont="1" applyBorder="1" applyAlignment="1">
      <alignment horizontal="center" vertical="center" wrapText="1"/>
    </xf>
    <xf numFmtId="165" fontId="20" fillId="0" borderId="23" xfId="0" applyNumberFormat="1" applyFont="1" applyBorder="1" applyAlignment="1">
      <alignment horizontal="center" vertical="center" wrapText="1"/>
    </xf>
    <xf numFmtId="0" fontId="20" fillId="0" borderId="0" xfId="0" applyFont="1" applyAlignment="1">
      <alignment horizontal="center" vertical="center" wrapText="1"/>
    </xf>
    <xf numFmtId="10" fontId="20" fillId="0" borderId="17" xfId="33" applyNumberFormat="1" applyFont="1" applyFill="1" applyBorder="1" applyAlignment="1">
      <alignment horizontal="left" vertical="center"/>
    </xf>
    <xf numFmtId="10" fontId="2" fillId="0" borderId="22" xfId="0" applyNumberFormat="1" applyFont="1" applyBorder="1" applyAlignment="1">
      <alignment horizontal="center" vertical="center" wrapText="1"/>
    </xf>
    <xf numFmtId="0" fontId="2" fillId="0" borderId="14" xfId="0" applyFont="1" applyBorder="1" applyAlignment="1">
      <alignment vertical="center"/>
    </xf>
    <xf numFmtId="0" fontId="2" fillId="0" borderId="24" xfId="0" applyFont="1" applyBorder="1" applyAlignment="1">
      <alignment vertical="center"/>
    </xf>
    <xf numFmtId="0" fontId="2" fillId="0" borderId="20" xfId="0" applyFont="1" applyBorder="1" applyAlignment="1">
      <alignment vertical="center"/>
    </xf>
    <xf numFmtId="0" fontId="20" fillId="0" borderId="12" xfId="0" applyFont="1" applyBorder="1" applyAlignment="1">
      <alignment vertical="center"/>
    </xf>
    <xf numFmtId="0" fontId="20" fillId="0" borderId="17" xfId="0" applyFont="1" applyBorder="1" applyAlignment="1">
      <alignment vertical="center"/>
    </xf>
    <xf numFmtId="165" fontId="2" fillId="0" borderId="0" xfId="0" applyNumberFormat="1" applyFont="1" applyAlignment="1">
      <alignment vertical="center"/>
    </xf>
    <xf numFmtId="0" fontId="2" fillId="0" borderId="16" xfId="0" applyFont="1" applyBorder="1" applyAlignment="1">
      <alignment vertical="center"/>
    </xf>
    <xf numFmtId="0" fontId="2" fillId="0" borderId="19" xfId="0" applyFont="1" applyBorder="1" applyAlignment="1">
      <alignment vertical="center"/>
    </xf>
    <xf numFmtId="0" fontId="2" fillId="0" borderId="21" xfId="0" applyFont="1" applyBorder="1" applyAlignment="1">
      <alignment vertical="center"/>
    </xf>
    <xf numFmtId="0" fontId="20" fillId="0" borderId="0" xfId="0" applyFont="1" applyAlignment="1">
      <alignment horizontal="center"/>
    </xf>
    <xf numFmtId="0" fontId="21" fillId="0" borderId="0" xfId="0" applyFont="1" applyAlignment="1">
      <alignment vertical="center"/>
    </xf>
    <xf numFmtId="0" fontId="22" fillId="0" borderId="0" xfId="0" applyFont="1" applyAlignment="1">
      <alignment vertical="center"/>
    </xf>
    <xf numFmtId="0" fontId="2" fillId="0" borderId="13" xfId="0" applyFont="1" applyBorder="1" applyAlignment="1">
      <alignment vertical="center" wrapText="1"/>
    </xf>
    <xf numFmtId="0" fontId="20" fillId="0" borderId="17" xfId="0" applyFont="1" applyBorder="1" applyAlignment="1">
      <alignment vertical="center" wrapText="1"/>
    </xf>
    <xf numFmtId="4" fontId="20" fillId="0" borderId="13" xfId="0" applyNumberFormat="1" applyFont="1" applyBorder="1" applyAlignment="1">
      <alignment horizontal="right" vertical="center"/>
    </xf>
    <xf numFmtId="0" fontId="23" fillId="0" borderId="0" xfId="0" applyFont="1" applyAlignment="1">
      <alignment vertical="center"/>
    </xf>
    <xf numFmtId="4" fontId="20" fillId="0" borderId="0" xfId="0" applyNumberFormat="1" applyFont="1" applyAlignment="1">
      <alignment vertical="center" wrapText="1"/>
    </xf>
    <xf numFmtId="4" fontId="20" fillId="0" borderId="25" xfId="0" applyNumberFormat="1" applyFont="1" applyBorder="1" applyAlignment="1">
      <alignment vertical="center" wrapText="1"/>
    </xf>
    <xf numFmtId="4" fontId="20" fillId="0" borderId="19" xfId="0" applyNumberFormat="1" applyFont="1" applyBorder="1" applyAlignment="1">
      <alignment vertical="center" wrapText="1"/>
    </xf>
    <xf numFmtId="4" fontId="20" fillId="0" borderId="21" xfId="0" applyNumberFormat="1" applyFont="1" applyBorder="1" applyAlignment="1">
      <alignment vertical="center" wrapText="1"/>
    </xf>
    <xf numFmtId="0" fontId="25" fillId="0" borderId="0" xfId="0" applyFont="1" applyAlignment="1">
      <alignment horizontal="center" vertical="center" wrapText="1"/>
    </xf>
    <xf numFmtId="2" fontId="24" fillId="0" borderId="0" xfId="0" applyNumberFormat="1" applyFont="1" applyAlignment="1">
      <alignment horizontal="center" vertical="center"/>
    </xf>
    <xf numFmtId="165" fontId="24" fillId="0" borderId="0" xfId="0" applyNumberFormat="1" applyFont="1" applyAlignment="1">
      <alignment horizontal="center" vertical="center"/>
    </xf>
    <xf numFmtId="0" fontId="2" fillId="0" borderId="0" xfId="0" applyFont="1" applyAlignment="1">
      <alignment horizontal="center" vertical="center" wrapText="1"/>
    </xf>
    <xf numFmtId="0" fontId="20" fillId="0" borderId="18" xfId="0" applyFont="1" applyBorder="1" applyAlignment="1">
      <alignment horizontal="center" vertical="center" wrapText="1"/>
    </xf>
    <xf numFmtId="49" fontId="20" fillId="0" borderId="18" xfId="0" applyNumberFormat="1" applyFont="1" applyBorder="1" applyAlignment="1">
      <alignment vertical="center" wrapText="1"/>
    </xf>
    <xf numFmtId="4" fontId="20" fillId="0" borderId="0" xfId="0" applyNumberFormat="1" applyFont="1" applyAlignment="1">
      <alignment horizontal="center" vertical="center" wrapText="1"/>
    </xf>
    <xf numFmtId="49" fontId="2"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0" fillId="0" borderId="17" xfId="0" applyFont="1" applyBorder="1" applyAlignment="1">
      <alignment horizontal="left" vertical="center"/>
    </xf>
    <xf numFmtId="0" fontId="20" fillId="0" borderId="13" xfId="0" applyFont="1" applyBorder="1" applyAlignment="1">
      <alignment horizontal="left" vertical="center"/>
    </xf>
    <xf numFmtId="2" fontId="20" fillId="0" borderId="0" xfId="0" applyNumberFormat="1" applyFont="1" applyAlignment="1">
      <alignment vertical="center" wrapText="1"/>
    </xf>
    <xf numFmtId="2" fontId="20" fillId="0" borderId="25" xfId="0" applyNumberFormat="1" applyFont="1" applyBorder="1" applyAlignment="1">
      <alignment vertical="center" wrapText="1"/>
    </xf>
    <xf numFmtId="2" fontId="20" fillId="0" borderId="19" xfId="0" applyNumberFormat="1" applyFont="1" applyBorder="1" applyAlignment="1">
      <alignment vertical="center" wrapText="1"/>
    </xf>
    <xf numFmtId="2" fontId="20" fillId="0" borderId="21" xfId="0" applyNumberFormat="1" applyFont="1" applyBorder="1" applyAlignment="1">
      <alignment vertical="center" wrapText="1"/>
    </xf>
    <xf numFmtId="0" fontId="20" fillId="0" borderId="18" xfId="0" applyFont="1" applyBorder="1" applyAlignment="1">
      <alignment vertical="center" wrapText="1"/>
    </xf>
    <xf numFmtId="0" fontId="20" fillId="0" borderId="0" xfId="0" applyFont="1" applyAlignment="1">
      <alignment horizontal="left" vertical="center"/>
    </xf>
    <xf numFmtId="0" fontId="20" fillId="0" borderId="10" xfId="0" applyFont="1" applyBorder="1" applyAlignment="1">
      <alignment horizontal="center" vertical="center" wrapText="1"/>
    </xf>
    <xf numFmtId="0" fontId="2" fillId="0" borderId="24" xfId="0" applyFont="1" applyBorder="1" applyAlignment="1">
      <alignment horizontal="left" vertical="center"/>
    </xf>
    <xf numFmtId="0" fontId="2" fillId="0" borderId="0" xfId="0" applyFont="1" applyAlignment="1">
      <alignment horizontal="left" vertical="center"/>
    </xf>
    <xf numFmtId="0" fontId="2" fillId="0" borderId="19" xfId="0" applyFont="1" applyBorder="1" applyAlignment="1">
      <alignment horizontal="left" vertical="center"/>
    </xf>
    <xf numFmtId="49" fontId="21" fillId="0" borderId="12" xfId="0" applyNumberFormat="1" applyFont="1" applyBorder="1" applyAlignment="1">
      <alignment horizontal="center" vertical="center" wrapText="1"/>
    </xf>
    <xf numFmtId="0" fontId="21" fillId="0" borderId="13" xfId="0" applyFont="1" applyBorder="1" applyAlignment="1">
      <alignment horizontal="center" vertical="center" wrapText="1"/>
    </xf>
    <xf numFmtId="0" fontId="21" fillId="0" borderId="13" xfId="0" applyFont="1" applyBorder="1" applyAlignment="1">
      <alignment horizontal="left" vertical="center" wrapText="1"/>
    </xf>
    <xf numFmtId="4" fontId="21" fillId="0" borderId="13" xfId="0" applyNumberFormat="1" applyFont="1" applyBorder="1" applyAlignment="1">
      <alignment horizontal="center" vertical="center" wrapText="1"/>
    </xf>
    <xf numFmtId="0" fontId="21" fillId="0" borderId="17" xfId="0" applyFont="1" applyBorder="1" applyAlignment="1">
      <alignment horizontal="center" vertical="center" wrapText="1"/>
    </xf>
    <xf numFmtId="0" fontId="21" fillId="0" borderId="0" xfId="0" applyFont="1" applyAlignment="1">
      <alignment vertical="center" wrapText="1"/>
    </xf>
    <xf numFmtId="10" fontId="20" fillId="0" borderId="23" xfId="0" applyNumberFormat="1" applyFont="1" applyBorder="1" applyAlignment="1">
      <alignment horizontal="center" vertical="center" wrapText="1"/>
    </xf>
    <xf numFmtId="4" fontId="25" fillId="0" borderId="0" xfId="0" applyNumberFormat="1" applyFont="1" applyAlignment="1">
      <alignment vertical="center"/>
    </xf>
    <xf numFmtId="0" fontId="25" fillId="0" borderId="0" xfId="0" applyFont="1" applyAlignment="1">
      <alignment horizontal="center" vertical="center"/>
    </xf>
    <xf numFmtId="0" fontId="24" fillId="0" borderId="0" xfId="0" applyFont="1" applyAlignment="1">
      <alignment horizontal="center" vertical="center"/>
    </xf>
    <xf numFmtId="4" fontId="26" fillId="0" borderId="0" xfId="0" applyNumberFormat="1" applyFont="1" applyAlignment="1">
      <alignment horizontal="center" vertical="center"/>
    </xf>
    <xf numFmtId="4" fontId="20" fillId="0" borderId="11" xfId="0" applyNumberFormat="1" applyFont="1" applyBorder="1" applyAlignment="1">
      <alignment horizontal="center" vertical="center"/>
    </xf>
    <xf numFmtId="49" fontId="20" fillId="0" borderId="11" xfId="0" applyNumberFormat="1" applyFont="1" applyBorder="1" applyAlignment="1">
      <alignment horizontal="center" vertical="center"/>
    </xf>
    <xf numFmtId="0" fontId="20" fillId="0" borderId="11" xfId="0" applyFont="1" applyBorder="1" applyAlignment="1">
      <alignment horizontal="center" vertical="center"/>
    </xf>
    <xf numFmtId="0" fontId="20" fillId="0" borderId="11" xfId="0" applyFont="1" applyBorder="1" applyAlignment="1">
      <alignment vertical="center" wrapText="1"/>
    </xf>
    <xf numFmtId="0" fontId="20" fillId="0" borderId="26" xfId="0" applyFont="1" applyBorder="1" applyAlignment="1">
      <alignment horizontal="center" vertical="center"/>
    </xf>
    <xf numFmtId="0" fontId="20" fillId="0" borderId="27" xfId="0" applyFont="1" applyBorder="1" applyAlignment="1">
      <alignment horizontal="center" vertical="center"/>
    </xf>
    <xf numFmtId="0" fontId="20" fillId="0" borderId="30" xfId="0" applyFont="1" applyBorder="1" applyAlignment="1">
      <alignment horizontal="center" vertical="center"/>
    </xf>
    <xf numFmtId="0" fontId="20" fillId="0" borderId="11" xfId="0" applyFont="1" applyBorder="1" applyAlignment="1">
      <alignment horizontal="center" vertical="center" wrapText="1"/>
    </xf>
    <xf numFmtId="166" fontId="21" fillId="0" borderId="0" xfId="0" applyNumberFormat="1" applyFont="1" applyAlignment="1">
      <alignment horizontal="center" vertical="center"/>
    </xf>
    <xf numFmtId="0" fontId="23" fillId="0" borderId="0" xfId="0" applyFont="1" applyAlignment="1">
      <alignment horizontal="center" vertical="center"/>
    </xf>
    <xf numFmtId="0" fontId="21" fillId="0" borderId="0" xfId="0" applyFont="1" applyAlignment="1">
      <alignment horizontal="center" vertical="center"/>
    </xf>
    <xf numFmtId="165" fontId="23" fillId="0" borderId="0" xfId="0" applyNumberFormat="1" applyFont="1" applyAlignment="1">
      <alignment horizontal="center" vertical="center"/>
    </xf>
    <xf numFmtId="0" fontId="22" fillId="0" borderId="0" xfId="0" applyFont="1" applyAlignment="1">
      <alignment horizontal="center" vertical="center"/>
    </xf>
    <xf numFmtId="165" fontId="20" fillId="0" borderId="13" xfId="0" applyNumberFormat="1" applyFont="1" applyBorder="1" applyAlignment="1">
      <alignment horizontal="right" vertical="center"/>
    </xf>
    <xf numFmtId="0" fontId="20" fillId="0" borderId="18" xfId="0" applyFont="1" applyBorder="1" applyAlignment="1">
      <alignment horizontal="center" vertical="center"/>
    </xf>
    <xf numFmtId="0" fontId="20" fillId="0" borderId="0" xfId="0" applyFont="1" applyAlignment="1">
      <alignment horizontal="center" vertical="center"/>
    </xf>
    <xf numFmtId="0" fontId="20" fillId="0" borderId="10"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17" xfId="0" applyFont="1" applyBorder="1" applyAlignment="1">
      <alignment horizontal="center" vertical="center"/>
    </xf>
    <xf numFmtId="0" fontId="20" fillId="0" borderId="13" xfId="0" applyFont="1" applyBorder="1" applyAlignment="1">
      <alignment horizontal="center" vertical="center" wrapText="1"/>
    </xf>
    <xf numFmtId="49" fontId="20" fillId="0" borderId="11" xfId="0" applyNumberFormat="1" applyFont="1" applyBorder="1" applyAlignment="1">
      <alignment horizontal="center" vertical="center" wrapText="1"/>
    </xf>
    <xf numFmtId="0" fontId="20" fillId="0" borderId="35" xfId="0" applyFont="1" applyBorder="1" applyAlignment="1">
      <alignment horizontal="right" vertical="center" wrapText="1"/>
    </xf>
    <xf numFmtId="10" fontId="20" fillId="0" borderId="36" xfId="33" applyNumberFormat="1" applyFont="1" applyFill="1" applyBorder="1" applyAlignment="1">
      <alignment horizontal="left" vertical="center"/>
    </xf>
    <xf numFmtId="0" fontId="20" fillId="0" borderId="31" xfId="0" applyFont="1" applyBorder="1" applyAlignment="1">
      <alignment horizontal="center" vertical="center"/>
    </xf>
    <xf numFmtId="0" fontId="25" fillId="0" borderId="25" xfId="0" applyFont="1" applyBorder="1" applyAlignment="1">
      <alignment horizontal="center" vertical="center"/>
    </xf>
    <xf numFmtId="0" fontId="33" fillId="0" borderId="25" xfId="0" applyFont="1" applyBorder="1" applyAlignment="1">
      <alignment horizontal="center" vertical="center"/>
    </xf>
    <xf numFmtId="0" fontId="33" fillId="0" borderId="0" xfId="0" applyFont="1" applyAlignment="1">
      <alignment horizontal="center" vertical="center"/>
    </xf>
    <xf numFmtId="4" fontId="20" fillId="0" borderId="11" xfId="0" applyNumberFormat="1" applyFont="1" applyBorder="1" applyAlignment="1">
      <alignment horizontal="center" vertical="center" wrapText="1"/>
    </xf>
    <xf numFmtId="0" fontId="2" fillId="0" borderId="18" xfId="0" applyFont="1" applyBorder="1" applyAlignment="1">
      <alignment horizontal="center" vertical="center" wrapText="1"/>
    </xf>
    <xf numFmtId="0" fontId="20" fillId="0" borderId="12" xfId="0" applyFont="1" applyBorder="1" applyAlignment="1">
      <alignment horizontal="center" vertical="center" wrapText="1"/>
    </xf>
    <xf numFmtId="0" fontId="24" fillId="0" borderId="0" xfId="0" applyFont="1" applyAlignment="1">
      <alignment horizontal="center"/>
    </xf>
    <xf numFmtId="0" fontId="24" fillId="0" borderId="25" xfId="0" applyFont="1" applyBorder="1" applyAlignment="1">
      <alignment horizontal="center"/>
    </xf>
    <xf numFmtId="0" fontId="2" fillId="0" borderId="10" xfId="0" applyFont="1" applyBorder="1" applyAlignment="1">
      <alignment horizontal="center" vertical="center"/>
    </xf>
    <xf numFmtId="0" fontId="26" fillId="0" borderId="0" xfId="0" applyFont="1" applyAlignment="1">
      <alignment vertical="center"/>
    </xf>
    <xf numFmtId="0" fontId="26" fillId="0" borderId="0" xfId="0" applyFont="1" applyAlignment="1">
      <alignment horizontal="center" vertical="center"/>
    </xf>
    <xf numFmtId="0" fontId="21" fillId="0" borderId="18" xfId="0" applyFont="1" applyBorder="1" applyAlignment="1">
      <alignment vertical="center" wrapText="1"/>
    </xf>
    <xf numFmtId="0" fontId="21" fillId="0" borderId="25" xfId="0" applyFont="1" applyBorder="1" applyAlignment="1">
      <alignment vertical="center" wrapText="1"/>
    </xf>
    <xf numFmtId="0" fontId="20" fillId="0" borderId="12" xfId="0" applyFont="1" applyBorder="1" applyAlignment="1">
      <alignment horizontal="right" vertical="center"/>
    </xf>
    <xf numFmtId="0" fontId="20" fillId="0" borderId="17" xfId="0" applyFont="1" applyBorder="1" applyAlignment="1">
      <alignment horizontal="right" vertical="center"/>
    </xf>
    <xf numFmtId="0" fontId="29" fillId="24" borderId="10" xfId="0" applyFont="1" applyFill="1" applyBorder="1" applyAlignment="1">
      <alignment horizontal="center" vertical="center" wrapText="1"/>
    </xf>
    <xf numFmtId="0" fontId="21" fillId="24" borderId="10" xfId="0" applyFont="1" applyFill="1" applyBorder="1" applyAlignment="1">
      <alignment horizontal="center" vertical="center"/>
    </xf>
    <xf numFmtId="0" fontId="23" fillId="25" borderId="10" xfId="0" applyFont="1" applyFill="1" applyBorder="1" applyAlignment="1">
      <alignment horizontal="center" vertical="center"/>
    </xf>
    <xf numFmtId="49" fontId="23" fillId="25" borderId="10" xfId="0" applyNumberFormat="1" applyFont="1" applyFill="1" applyBorder="1" applyAlignment="1">
      <alignment vertical="center"/>
    </xf>
    <xf numFmtId="2" fontId="21" fillId="25" borderId="10" xfId="0" applyNumberFormat="1" applyFont="1" applyFill="1" applyBorder="1" applyAlignment="1">
      <alignment horizontal="center" vertical="center"/>
    </xf>
    <xf numFmtId="165" fontId="23" fillId="25" borderId="10" xfId="0" applyNumberFormat="1" applyFont="1" applyFill="1" applyBorder="1" applyAlignment="1">
      <alignment horizontal="center" vertical="center"/>
    </xf>
    <xf numFmtId="2" fontId="23" fillId="25" borderId="10" xfId="0" applyNumberFormat="1" applyFont="1" applyFill="1" applyBorder="1" applyAlignment="1">
      <alignment horizontal="center" vertical="center"/>
    </xf>
    <xf numFmtId="165" fontId="25" fillId="25" borderId="10" xfId="0" applyNumberFormat="1" applyFont="1" applyFill="1" applyBorder="1" applyAlignment="1">
      <alignment horizontal="center" vertical="center"/>
    </xf>
    <xf numFmtId="165" fontId="21" fillId="25" borderId="10" xfId="0" applyNumberFormat="1" applyFont="1" applyFill="1" applyBorder="1" applyAlignment="1">
      <alignment horizontal="center" vertical="center"/>
    </xf>
    <xf numFmtId="0" fontId="21" fillId="25" borderId="10" xfId="0" applyFont="1" applyFill="1" applyBorder="1" applyAlignment="1">
      <alignment horizontal="center" vertical="center"/>
    </xf>
    <xf numFmtId="49" fontId="21" fillId="25" borderId="10" xfId="0" applyNumberFormat="1" applyFont="1" applyFill="1" applyBorder="1" applyAlignment="1">
      <alignment horizontal="center" vertical="center"/>
    </xf>
    <xf numFmtId="2" fontId="23" fillId="25" borderId="10" xfId="35" applyNumberFormat="1" applyFont="1" applyFill="1" applyBorder="1" applyAlignment="1">
      <alignment horizontal="center" vertical="center"/>
    </xf>
    <xf numFmtId="0" fontId="30" fillId="25" borderId="10" xfId="0" applyFont="1" applyFill="1" applyBorder="1" applyAlignment="1">
      <alignment horizontal="center" vertical="center"/>
    </xf>
    <xf numFmtId="0" fontId="23" fillId="25" borderId="10" xfId="0" applyFont="1" applyFill="1" applyBorder="1" applyAlignment="1">
      <alignment horizontal="left" vertical="center"/>
    </xf>
    <xf numFmtId="0" fontId="21" fillId="25" borderId="10" xfId="35" applyNumberFormat="1" applyFont="1" applyFill="1" applyBorder="1" applyAlignment="1">
      <alignment horizontal="center" vertical="center"/>
    </xf>
    <xf numFmtId="4" fontId="21" fillId="25" borderId="10" xfId="0" applyNumberFormat="1" applyFont="1" applyFill="1" applyBorder="1" applyAlignment="1">
      <alignment horizontal="center" vertical="center"/>
    </xf>
    <xf numFmtId="4" fontId="21" fillId="25" borderId="10" xfId="0" applyNumberFormat="1" applyFont="1" applyFill="1" applyBorder="1" applyAlignment="1">
      <alignment vertical="center"/>
    </xf>
    <xf numFmtId="0" fontId="30" fillId="25" borderId="10" xfId="0" applyFont="1" applyFill="1" applyBorder="1" applyAlignment="1">
      <alignment horizontal="left" vertical="center"/>
    </xf>
    <xf numFmtId="0" fontId="29" fillId="25" borderId="10" xfId="35" applyNumberFormat="1" applyFont="1" applyFill="1" applyBorder="1" applyAlignment="1">
      <alignment horizontal="center" vertical="center"/>
    </xf>
    <xf numFmtId="4" fontId="23" fillId="25" borderId="10" xfId="0" applyNumberFormat="1" applyFont="1" applyFill="1" applyBorder="1" applyAlignment="1">
      <alignment horizontal="center" vertical="center"/>
    </xf>
    <xf numFmtId="4" fontId="23" fillId="25" borderId="10" xfId="0" applyNumberFormat="1" applyFont="1" applyFill="1" applyBorder="1" applyAlignment="1">
      <alignment vertical="center"/>
    </xf>
    <xf numFmtId="0" fontId="30" fillId="25" borderId="10" xfId="0" applyFont="1" applyFill="1" applyBorder="1" applyAlignment="1">
      <alignment horizontal="center" vertical="center" wrapText="1"/>
    </xf>
    <xf numFmtId="0" fontId="21" fillId="25" borderId="10" xfId="0" applyFont="1" applyFill="1" applyBorder="1" applyAlignment="1">
      <alignment horizontal="center" vertical="center" wrapText="1"/>
    </xf>
    <xf numFmtId="0" fontId="23" fillId="25" borderId="10" xfId="0" applyFont="1" applyFill="1" applyBorder="1" applyAlignment="1">
      <alignment horizontal="center" vertical="center" wrapText="1"/>
    </xf>
    <xf numFmtId="0" fontId="27" fillId="25" borderId="10" xfId="0" applyFont="1" applyFill="1" applyBorder="1" applyAlignment="1">
      <alignment horizontal="left" vertical="center"/>
    </xf>
    <xf numFmtId="0" fontId="28" fillId="25" borderId="10" xfId="35" applyNumberFormat="1" applyFont="1" applyFill="1" applyBorder="1" applyAlignment="1">
      <alignment horizontal="center" vertical="center" wrapText="1"/>
    </xf>
    <xf numFmtId="4" fontId="21" fillId="25" borderId="10" xfId="0" applyNumberFormat="1" applyFont="1" applyFill="1" applyBorder="1" applyAlignment="1">
      <alignment horizontal="center" vertical="center" wrapText="1"/>
    </xf>
    <xf numFmtId="4" fontId="21" fillId="25" borderId="10" xfId="0" applyNumberFormat="1" applyFont="1" applyFill="1" applyBorder="1" applyAlignment="1">
      <alignment vertical="center" wrapText="1"/>
    </xf>
    <xf numFmtId="0" fontId="28" fillId="25" borderId="10" xfId="35" applyNumberFormat="1" applyFont="1" applyFill="1" applyBorder="1" applyAlignment="1">
      <alignment horizontal="center" vertical="center"/>
    </xf>
    <xf numFmtId="4" fontId="31" fillId="25" borderId="10" xfId="0" applyNumberFormat="1" applyFont="1" applyFill="1" applyBorder="1" applyAlignment="1">
      <alignment vertical="center"/>
    </xf>
    <xf numFmtId="2" fontId="21" fillId="24" borderId="10" xfId="0" applyNumberFormat="1" applyFont="1" applyFill="1" applyBorder="1" applyAlignment="1">
      <alignment horizontal="center" vertical="center" wrapText="1"/>
    </xf>
    <xf numFmtId="0" fontId="21" fillId="24" borderId="10" xfId="0" applyFont="1" applyFill="1" applyBorder="1" applyAlignment="1">
      <alignment horizontal="center" vertical="center" wrapText="1"/>
    </xf>
    <xf numFmtId="4" fontId="21" fillId="24" borderId="10" xfId="0" applyNumberFormat="1" applyFont="1" applyFill="1" applyBorder="1" applyAlignment="1">
      <alignment horizontal="center" vertical="center" wrapText="1"/>
    </xf>
    <xf numFmtId="4" fontId="21" fillId="24" borderId="10" xfId="0" applyNumberFormat="1" applyFont="1" applyFill="1" applyBorder="1" applyAlignment="1">
      <alignment vertical="center" wrapText="1"/>
    </xf>
    <xf numFmtId="4" fontId="21" fillId="24" borderId="10" xfId="0" applyNumberFormat="1" applyFont="1" applyFill="1" applyBorder="1" applyAlignment="1">
      <alignment horizontal="center" vertical="center"/>
    </xf>
    <xf numFmtId="0" fontId="23" fillId="26" borderId="13" xfId="45" applyFont="1" applyFill="1" applyBorder="1" applyAlignment="1">
      <alignment vertical="center"/>
    </xf>
    <xf numFmtId="0" fontId="23" fillId="25" borderId="13" xfId="45" applyFont="1" applyFill="1" applyBorder="1" applyAlignment="1">
      <alignment vertical="center" wrapText="1"/>
    </xf>
    <xf numFmtId="0" fontId="21" fillId="24" borderId="10" xfId="45" applyFont="1" applyFill="1" applyBorder="1" applyAlignment="1">
      <alignment horizontal="center" vertical="center"/>
    </xf>
    <xf numFmtId="0" fontId="21" fillId="24" borderId="10" xfId="0" applyFont="1" applyFill="1" applyBorder="1" applyAlignment="1">
      <alignment wrapText="1"/>
    </xf>
    <xf numFmtId="0" fontId="21" fillId="24" borderId="10" xfId="35" applyNumberFormat="1" applyFont="1" applyFill="1" applyBorder="1" applyAlignment="1">
      <alignment horizontal="center" vertical="center"/>
    </xf>
    <xf numFmtId="0" fontId="23" fillId="26" borderId="10" xfId="45" applyFont="1" applyFill="1" applyBorder="1" applyAlignment="1">
      <alignment vertical="center"/>
    </xf>
    <xf numFmtId="4" fontId="20" fillId="25" borderId="10" xfId="0" applyNumberFormat="1" applyFont="1" applyFill="1" applyBorder="1" applyAlignment="1">
      <alignment vertical="center" wrapText="1"/>
    </xf>
    <xf numFmtId="167" fontId="21" fillId="24" borderId="10" xfId="33" applyNumberFormat="1" applyFont="1" applyFill="1" applyBorder="1" applyAlignment="1">
      <alignment horizontal="center" vertical="center"/>
    </xf>
    <xf numFmtId="49" fontId="20" fillId="0" borderId="14" xfId="0" applyNumberFormat="1" applyFont="1" applyBorder="1" applyAlignment="1">
      <alignment horizontal="center" vertical="center"/>
    </xf>
    <xf numFmtId="0" fontId="20" fillId="0" borderId="24" xfId="0" applyFont="1" applyBorder="1" applyAlignment="1">
      <alignment horizontal="center" vertical="center"/>
    </xf>
    <xf numFmtId="0" fontId="20" fillId="0" borderId="24" xfId="0" applyFont="1" applyBorder="1" applyAlignment="1">
      <alignment horizontal="center" vertical="center" wrapText="1"/>
    </xf>
    <xf numFmtId="4" fontId="20" fillId="0" borderId="24" xfId="0" applyNumberFormat="1" applyFont="1" applyBorder="1" applyAlignment="1">
      <alignment horizontal="center" vertical="center"/>
    </xf>
    <xf numFmtId="4" fontId="20" fillId="0" borderId="24" xfId="0" applyNumberFormat="1" applyFont="1" applyBorder="1" applyAlignment="1">
      <alignment horizontal="center" vertical="center" wrapText="1"/>
    </xf>
    <xf numFmtId="0" fontId="28" fillId="24" borderId="10" xfId="35" applyNumberFormat="1" applyFont="1" applyFill="1" applyBorder="1" applyAlignment="1">
      <alignment horizontal="center" vertical="center"/>
    </xf>
    <xf numFmtId="0" fontId="28" fillId="24" borderId="10" xfId="0" applyFont="1" applyFill="1" applyBorder="1" applyAlignment="1">
      <alignment horizontal="left" vertical="center" wrapText="1"/>
    </xf>
    <xf numFmtId="0" fontId="21" fillId="24" borderId="0" xfId="0" applyFont="1" applyFill="1" applyAlignment="1">
      <alignment vertical="center" wrapText="1"/>
    </xf>
    <xf numFmtId="0" fontId="21" fillId="24" borderId="18" xfId="0" applyFont="1" applyFill="1" applyBorder="1" applyAlignment="1">
      <alignment vertical="center" wrapText="1"/>
    </xf>
    <xf numFmtId="0" fontId="21" fillId="24" borderId="25" xfId="0" applyFont="1" applyFill="1" applyBorder="1" applyAlignment="1">
      <alignment vertical="center" wrapText="1"/>
    </xf>
    <xf numFmtId="0" fontId="29" fillId="24" borderId="10" xfId="0" applyFont="1" applyFill="1" applyBorder="1" applyAlignment="1">
      <alignment horizontal="center" vertical="center"/>
    </xf>
    <xf numFmtId="0" fontId="23" fillId="25" borderId="10" xfId="0" applyFont="1" applyFill="1" applyBorder="1" applyAlignment="1">
      <alignment wrapText="1"/>
    </xf>
    <xf numFmtId="44" fontId="23" fillId="0" borderId="20" xfId="48" applyFont="1" applyBorder="1" applyAlignment="1">
      <alignment horizontal="center" vertical="center" wrapText="1"/>
    </xf>
    <xf numFmtId="44" fontId="23" fillId="25" borderId="10" xfId="48" applyFont="1" applyFill="1" applyBorder="1" applyAlignment="1">
      <alignment horizontal="right" vertical="center" wrapText="1"/>
    </xf>
    <xf numFmtId="165" fontId="21" fillId="27" borderId="10" xfId="0" applyNumberFormat="1" applyFont="1" applyFill="1" applyBorder="1" applyAlignment="1">
      <alignment horizontal="center" vertical="center" wrapText="1"/>
    </xf>
    <xf numFmtId="0" fontId="21" fillId="27" borderId="0" xfId="0" applyFont="1" applyFill="1" applyAlignment="1">
      <alignment vertical="center"/>
    </xf>
    <xf numFmtId="0" fontId="21" fillId="27" borderId="0" xfId="0" applyFont="1" applyFill="1" applyAlignment="1">
      <alignment horizontal="center" vertical="center"/>
    </xf>
    <xf numFmtId="0" fontId="23" fillId="25" borderId="10" xfId="0" applyFont="1" applyFill="1" applyBorder="1" applyAlignment="1">
      <alignment vertical="center"/>
    </xf>
    <xf numFmtId="49" fontId="2" fillId="0" borderId="10" xfId="0" applyNumberFormat="1" applyFont="1" applyBorder="1" applyAlignment="1">
      <alignment horizontal="center" vertical="center"/>
    </xf>
    <xf numFmtId="4" fontId="20" fillId="0" borderId="10" xfId="0" applyNumberFormat="1" applyFont="1" applyBorder="1" applyAlignment="1">
      <alignment vertical="center" wrapText="1"/>
    </xf>
    <xf numFmtId="44" fontId="23" fillId="0" borderId="10" xfId="48" applyFont="1" applyBorder="1" applyAlignment="1">
      <alignment vertical="center" wrapText="1"/>
    </xf>
    <xf numFmtId="44" fontId="21" fillId="24" borderId="10" xfId="48" applyFont="1" applyFill="1" applyBorder="1" applyAlignment="1">
      <alignment horizontal="center" vertical="center"/>
    </xf>
    <xf numFmtId="44" fontId="21" fillId="24" borderId="10" xfId="48" applyFont="1" applyFill="1" applyBorder="1" applyAlignment="1">
      <alignment horizontal="center" vertical="center" wrapText="1"/>
    </xf>
    <xf numFmtId="44" fontId="21" fillId="0" borderId="10" xfId="48" applyFont="1" applyFill="1" applyBorder="1" applyAlignment="1">
      <alignment horizontal="center" vertical="center"/>
    </xf>
    <xf numFmtId="44" fontId="23" fillId="25" borderId="10" xfId="48" applyFont="1" applyFill="1" applyBorder="1" applyAlignment="1">
      <alignment horizontal="right" vertical="center"/>
    </xf>
    <xf numFmtId="44" fontId="23" fillId="25" borderId="10" xfId="48" applyFont="1" applyFill="1" applyBorder="1" applyAlignment="1">
      <alignment vertical="center"/>
    </xf>
    <xf numFmtId="44" fontId="23" fillId="27" borderId="10" xfId="48" applyFont="1" applyFill="1" applyBorder="1" applyAlignment="1">
      <alignment horizontal="center" vertical="center" wrapText="1"/>
    </xf>
    <xf numFmtId="10" fontId="2" fillId="0" borderId="11" xfId="0" applyNumberFormat="1" applyFont="1" applyBorder="1" applyAlignment="1">
      <alignment horizontal="center" vertical="center" wrapText="1"/>
    </xf>
    <xf numFmtId="165" fontId="2" fillId="0" borderId="11" xfId="0" applyNumberFormat="1" applyFont="1" applyBorder="1" applyAlignment="1">
      <alignment horizontal="center" vertical="center" wrapText="1"/>
    </xf>
    <xf numFmtId="0" fontId="28" fillId="24" borderId="24" xfId="0" applyFont="1" applyFill="1" applyBorder="1" applyAlignment="1">
      <alignment horizontal="left" vertical="center" wrapText="1"/>
    </xf>
    <xf numFmtId="4" fontId="20" fillId="0" borderId="24" xfId="0" applyNumberFormat="1" applyFont="1" applyBorder="1" applyAlignment="1">
      <alignment vertical="center" wrapText="1"/>
    </xf>
    <xf numFmtId="0" fontId="28" fillId="24" borderId="0" xfId="0" applyFont="1" applyFill="1" applyAlignment="1">
      <alignment horizontal="left" vertical="center" wrapText="1"/>
    </xf>
    <xf numFmtId="2" fontId="21" fillId="25" borderId="10" xfId="0" applyNumberFormat="1" applyFont="1" applyFill="1" applyBorder="1" applyAlignment="1">
      <alignment horizontal="center" vertical="center" wrapText="1"/>
    </xf>
    <xf numFmtId="165" fontId="23" fillId="25" borderId="10" xfId="0" applyNumberFormat="1" applyFont="1" applyFill="1" applyBorder="1" applyAlignment="1">
      <alignment horizontal="center" vertical="center" wrapText="1"/>
    </xf>
    <xf numFmtId="165" fontId="21" fillId="25" borderId="10" xfId="0" applyNumberFormat="1" applyFont="1" applyFill="1" applyBorder="1" applyAlignment="1">
      <alignment horizontal="center" vertical="center" wrapText="1"/>
    </xf>
    <xf numFmtId="44" fontId="23" fillId="25" borderId="10" xfId="48" applyFont="1" applyFill="1" applyBorder="1" applyAlignment="1">
      <alignment horizontal="center" vertical="center" wrapText="1"/>
    </xf>
    <xf numFmtId="0" fontId="27" fillId="25" borderId="10" xfId="0" applyFont="1" applyFill="1" applyBorder="1" applyAlignment="1">
      <alignment horizontal="left" vertical="center" wrapText="1"/>
    </xf>
    <xf numFmtId="0" fontId="27" fillId="25" borderId="10" xfId="35" applyNumberFormat="1" applyFont="1" applyFill="1" applyBorder="1" applyAlignment="1">
      <alignment horizontal="center" vertical="center"/>
    </xf>
    <xf numFmtId="2" fontId="23" fillId="25" borderId="10" xfId="0" applyNumberFormat="1" applyFont="1" applyFill="1" applyBorder="1" applyAlignment="1">
      <alignment horizontal="center" vertical="center" wrapText="1"/>
    </xf>
    <xf numFmtId="44" fontId="2" fillId="0" borderId="0" xfId="0" applyNumberFormat="1" applyFont="1" applyAlignment="1">
      <alignment horizontal="center" vertical="center"/>
    </xf>
    <xf numFmtId="4" fontId="21" fillId="24" borderId="10" xfId="0" applyNumberFormat="1" applyFont="1" applyFill="1" applyBorder="1" applyAlignment="1">
      <alignment vertical="center"/>
    </xf>
    <xf numFmtId="0" fontId="21" fillId="24" borderId="0" xfId="0" applyFont="1" applyFill="1" applyAlignment="1">
      <alignment horizontal="center" vertical="center"/>
    </xf>
    <xf numFmtId="2" fontId="21" fillId="24" borderId="10" xfId="0" applyNumberFormat="1" applyFont="1" applyFill="1" applyBorder="1" applyAlignment="1">
      <alignment horizontal="center" vertical="center"/>
    </xf>
    <xf numFmtId="0" fontId="21" fillId="24" borderId="10" xfId="0" applyFont="1" applyFill="1" applyBorder="1" applyAlignment="1">
      <alignment horizontal="left" vertical="center"/>
    </xf>
    <xf numFmtId="0" fontId="28" fillId="24" borderId="10" xfId="35" applyNumberFormat="1" applyFont="1" applyFill="1" applyBorder="1" applyAlignment="1">
      <alignment horizontal="center" vertical="center" wrapText="1"/>
    </xf>
    <xf numFmtId="4" fontId="28" fillId="24" borderId="10" xfId="0" applyNumberFormat="1" applyFont="1" applyFill="1" applyBorder="1" applyAlignment="1">
      <alignment vertical="center" wrapText="1"/>
    </xf>
    <xf numFmtId="4" fontId="28" fillId="24" borderId="10" xfId="0" applyNumberFormat="1" applyFont="1" applyFill="1" applyBorder="1" applyAlignment="1">
      <alignment horizontal="left" vertical="center" wrapText="1"/>
    </xf>
    <xf numFmtId="0" fontId="21" fillId="24" borderId="10" xfId="0" applyFont="1" applyFill="1" applyBorder="1" applyAlignment="1">
      <alignment horizontal="left" vertical="center" wrapText="1"/>
    </xf>
    <xf numFmtId="0" fontId="29" fillId="24" borderId="10" xfId="0" applyFont="1" applyFill="1" applyBorder="1" applyAlignment="1">
      <alignment horizontal="left" vertical="center" wrapText="1"/>
    </xf>
    <xf numFmtId="0" fontId="29" fillId="24" borderId="10" xfId="35" applyNumberFormat="1" applyFont="1" applyFill="1" applyBorder="1" applyAlignment="1">
      <alignment horizontal="center" vertical="center" wrapText="1"/>
    </xf>
    <xf numFmtId="0" fontId="28" fillId="24" borderId="10" xfId="0" applyFont="1" applyFill="1" applyBorder="1" applyAlignment="1">
      <alignment horizontal="center" vertical="center" wrapText="1"/>
    </xf>
    <xf numFmtId="0" fontId="21" fillId="24" borderId="0" xfId="0" applyFont="1" applyFill="1" applyAlignment="1">
      <alignment wrapText="1"/>
    </xf>
    <xf numFmtId="0" fontId="21" fillId="24" borderId="15" xfId="0" applyFont="1" applyFill="1" applyBorder="1" applyAlignment="1">
      <alignment horizontal="center" vertical="center" wrapText="1"/>
    </xf>
    <xf numFmtId="0" fontId="21" fillId="24" borderId="15" xfId="0" applyFont="1" applyFill="1" applyBorder="1" applyAlignment="1">
      <alignment wrapText="1"/>
    </xf>
    <xf numFmtId="0" fontId="29" fillId="24" borderId="15" xfId="35" applyNumberFormat="1" applyFont="1" applyFill="1" applyBorder="1" applyAlignment="1">
      <alignment horizontal="center" vertical="center" wrapText="1"/>
    </xf>
    <xf numFmtId="4" fontId="21" fillId="24" borderId="15" xfId="0" applyNumberFormat="1" applyFont="1" applyFill="1" applyBorder="1" applyAlignment="1">
      <alignment horizontal="center" vertical="center" wrapText="1"/>
    </xf>
    <xf numFmtId="4" fontId="21" fillId="24" borderId="15" xfId="0" applyNumberFormat="1" applyFont="1" applyFill="1" applyBorder="1" applyAlignment="1">
      <alignment vertical="center" wrapText="1"/>
    </xf>
    <xf numFmtId="0" fontId="21" fillId="24" borderId="10" xfId="0" applyFont="1" applyFill="1" applyBorder="1"/>
    <xf numFmtId="0" fontId="21" fillId="24" borderId="10" xfId="35" applyNumberFormat="1" applyFont="1" applyFill="1" applyBorder="1" applyAlignment="1">
      <alignment horizontal="center" vertical="center" wrapText="1"/>
    </xf>
    <xf numFmtId="0" fontId="21" fillId="24" borderId="10" xfId="0" applyFont="1" applyFill="1" applyBorder="1" applyAlignment="1">
      <alignment vertical="center" wrapText="1"/>
    </xf>
    <xf numFmtId="0" fontId="21" fillId="24" borderId="15" xfId="0" applyFont="1" applyFill="1" applyBorder="1" applyAlignment="1">
      <alignment vertical="center" wrapText="1"/>
    </xf>
    <xf numFmtId="0" fontId="29" fillId="24" borderId="0" xfId="0" applyFont="1" applyFill="1" applyAlignment="1">
      <alignment horizontal="center" vertical="center" wrapText="1"/>
    </xf>
    <xf numFmtId="0" fontId="21" fillId="24" borderId="0" xfId="0" applyFont="1" applyFill="1"/>
    <xf numFmtId="2" fontId="21" fillId="24" borderId="10" xfId="35" applyNumberFormat="1" applyFont="1" applyFill="1" applyBorder="1" applyAlignment="1">
      <alignment horizontal="center" vertical="center" wrapText="1"/>
    </xf>
    <xf numFmtId="0" fontId="21" fillId="24" borderId="11" xfId="0" applyFont="1" applyFill="1" applyBorder="1" applyAlignment="1">
      <alignment horizontal="center" vertical="center"/>
    </xf>
    <xf numFmtId="0" fontId="21" fillId="24" borderId="17" xfId="0" applyFont="1" applyFill="1" applyBorder="1" applyAlignment="1">
      <alignment wrapText="1"/>
    </xf>
    <xf numFmtId="0" fontId="21" fillId="24" borderId="15" xfId="0" applyFont="1" applyFill="1" applyBorder="1" applyAlignment="1">
      <alignment horizontal="center" vertical="center"/>
    </xf>
    <xf numFmtId="0" fontId="21" fillId="24" borderId="10" xfId="45" applyFont="1" applyFill="1" applyBorder="1" applyAlignment="1">
      <alignment horizontal="left" vertical="center" wrapText="1"/>
    </xf>
    <xf numFmtId="0" fontId="21" fillId="24" borderId="10" xfId="45" applyFont="1" applyFill="1" applyBorder="1" applyAlignment="1">
      <alignment horizontal="center" vertical="center" wrapText="1"/>
    </xf>
    <xf numFmtId="49" fontId="21" fillId="24" borderId="10" xfId="0" applyNumberFormat="1" applyFont="1" applyFill="1" applyBorder="1" applyAlignment="1">
      <alignment horizontal="center" vertical="center" wrapText="1"/>
    </xf>
    <xf numFmtId="4" fontId="21" fillId="24" borderId="10" xfId="0" applyNumberFormat="1" applyFont="1" applyFill="1" applyBorder="1" applyAlignment="1">
      <alignment horizontal="left" vertical="center" wrapText="1"/>
    </xf>
    <xf numFmtId="0" fontId="28" fillId="24" borderId="10" xfId="0" applyFont="1" applyFill="1" applyBorder="1" applyAlignment="1">
      <alignment horizontal="left" vertical="top" wrapText="1"/>
    </xf>
    <xf numFmtId="0" fontId="20" fillId="0" borderId="10" xfId="0" applyFont="1" applyBorder="1" applyAlignment="1">
      <alignment horizontal="center" vertical="center"/>
    </xf>
    <xf numFmtId="0" fontId="20" fillId="0" borderId="32" xfId="0" applyFont="1" applyBorder="1" applyAlignment="1">
      <alignment horizontal="center" vertical="center" wrapText="1"/>
    </xf>
    <xf numFmtId="0" fontId="20" fillId="0" borderId="32"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17" xfId="0" applyFont="1" applyBorder="1" applyAlignment="1">
      <alignment horizontal="center" vertical="center"/>
    </xf>
    <xf numFmtId="0" fontId="32" fillId="0" borderId="33" xfId="0" applyFont="1" applyBorder="1" applyAlignment="1">
      <alignment horizontal="center" vertical="center" wrapText="1"/>
    </xf>
    <xf numFmtId="0" fontId="32" fillId="0" borderId="28" xfId="0" applyFont="1" applyBorder="1" applyAlignment="1">
      <alignment horizontal="center" vertical="center" wrapText="1"/>
    </xf>
    <xf numFmtId="0" fontId="32" fillId="0" borderId="34" xfId="0" applyFont="1" applyBorder="1" applyAlignment="1">
      <alignment horizontal="center" vertical="center" wrapText="1"/>
    </xf>
    <xf numFmtId="0" fontId="32" fillId="0" borderId="29" xfId="0" applyFont="1" applyBorder="1" applyAlignment="1">
      <alignment horizontal="center" vertical="center" wrapText="1"/>
    </xf>
    <xf numFmtId="0" fontId="20" fillId="0" borderId="12" xfId="0" applyFont="1" applyBorder="1" applyAlignment="1">
      <alignment horizontal="left" vertical="center" wrapText="1"/>
    </xf>
    <xf numFmtId="0" fontId="20" fillId="0" borderId="13" xfId="0" applyFont="1" applyBorder="1" applyAlignment="1">
      <alignment horizontal="left" vertical="center" wrapText="1"/>
    </xf>
    <xf numFmtId="0" fontId="20" fillId="0" borderId="17" xfId="0" applyFont="1" applyBorder="1" applyAlignment="1">
      <alignment horizontal="left" vertical="center" wrapText="1"/>
    </xf>
    <xf numFmtId="0" fontId="20" fillId="0" borderId="18" xfId="0" applyFont="1" applyBorder="1" applyAlignment="1">
      <alignment horizontal="center" vertical="center"/>
    </xf>
    <xf numFmtId="0" fontId="20" fillId="0" borderId="0" xfId="0" applyFont="1" applyAlignment="1">
      <alignment horizontal="center" vertical="center"/>
    </xf>
    <xf numFmtId="0" fontId="2" fillId="0" borderId="18" xfId="0" applyFont="1" applyBorder="1" applyAlignment="1">
      <alignment horizontal="center" vertical="center"/>
    </xf>
    <xf numFmtId="0" fontId="2" fillId="0" borderId="0" xfId="0" applyFont="1" applyAlignment="1">
      <alignment horizontal="center" vertical="center"/>
    </xf>
    <xf numFmtId="4" fontId="20" fillId="0" borderId="11" xfId="0" applyNumberFormat="1" applyFont="1" applyBorder="1" applyAlignment="1">
      <alignment horizontal="center" vertical="center" wrapText="1"/>
    </xf>
    <xf numFmtId="4" fontId="20" fillId="0" borderId="37" xfId="0" applyNumberFormat="1" applyFont="1" applyBorder="1" applyAlignment="1">
      <alignment horizontal="center" vertical="center"/>
    </xf>
    <xf numFmtId="4" fontId="20" fillId="0" borderId="15" xfId="0" applyNumberFormat="1" applyFont="1" applyBorder="1" applyAlignment="1">
      <alignment horizontal="center" vertical="center"/>
    </xf>
    <xf numFmtId="0" fontId="20" fillId="0" borderId="14" xfId="0" applyFont="1" applyBorder="1" applyAlignment="1">
      <alignment horizontal="left" vertical="center" wrapText="1"/>
    </xf>
    <xf numFmtId="0" fontId="20" fillId="0" borderId="24" xfId="0" applyFont="1" applyBorder="1" applyAlignment="1">
      <alignment horizontal="left" vertical="center" wrapText="1"/>
    </xf>
    <xf numFmtId="0" fontId="20" fillId="0" borderId="20" xfId="0" applyFont="1" applyBorder="1" applyAlignment="1">
      <alignment horizontal="left" vertical="center" wrapText="1"/>
    </xf>
    <xf numFmtId="0" fontId="20" fillId="0" borderId="16" xfId="0" applyFont="1" applyBorder="1" applyAlignment="1">
      <alignment horizontal="left" vertical="center" wrapText="1"/>
    </xf>
    <xf numFmtId="0" fontId="20" fillId="0" borderId="19" xfId="0" applyFont="1" applyBorder="1" applyAlignment="1">
      <alignment horizontal="left" vertical="center" wrapText="1"/>
    </xf>
    <xf numFmtId="0" fontId="20" fillId="0" borderId="21" xfId="0" applyFont="1" applyBorder="1" applyAlignment="1">
      <alignment horizontal="left" vertical="center" wrapText="1"/>
    </xf>
    <xf numFmtId="165" fontId="21" fillId="24" borderId="12" xfId="0" applyNumberFormat="1" applyFont="1" applyFill="1" applyBorder="1" applyAlignment="1">
      <alignment horizontal="center" vertical="center" wrapText="1"/>
    </xf>
    <xf numFmtId="165" fontId="21" fillId="24" borderId="13" xfId="0" applyNumberFormat="1" applyFont="1" applyFill="1" applyBorder="1" applyAlignment="1">
      <alignment horizontal="center" vertical="center" wrapText="1"/>
    </xf>
    <xf numFmtId="165" fontId="21" fillId="24" borderId="17" xfId="0" applyNumberFormat="1"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0" xfId="0" applyFont="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5" xfId="0" applyFont="1" applyBorder="1" applyAlignment="1">
      <alignment horizontal="center" vertical="center" wrapText="1"/>
    </xf>
    <xf numFmtId="49" fontId="20" fillId="0" borderId="11" xfId="0" applyNumberFormat="1" applyFont="1" applyBorder="1" applyAlignment="1">
      <alignment vertical="center" wrapText="1"/>
    </xf>
    <xf numFmtId="0" fontId="20" fillId="0" borderId="15" xfId="0" applyFont="1" applyBorder="1" applyAlignment="1">
      <alignment vertical="center" wrapText="1"/>
    </xf>
    <xf numFmtId="0" fontId="20" fillId="0" borderId="11" xfId="0" applyFont="1" applyBorder="1" applyAlignment="1">
      <alignment vertical="center" wrapText="1"/>
    </xf>
    <xf numFmtId="0" fontId="20" fillId="0" borderId="10" xfId="0" applyFont="1" applyBorder="1" applyAlignment="1">
      <alignment horizontal="center" vertical="center" wrapText="1"/>
    </xf>
    <xf numFmtId="0" fontId="20" fillId="0" borderId="22" xfId="0" applyFont="1" applyBorder="1" applyAlignment="1">
      <alignment horizontal="center" vertical="center"/>
    </xf>
    <xf numFmtId="0" fontId="20" fillId="0" borderId="23" xfId="0" applyFont="1" applyBorder="1" applyAlignment="1">
      <alignment horizontal="center" vertical="center"/>
    </xf>
  </cellXfs>
  <cellStyles count="49">
    <cellStyle name="20% - Ênfase1" xfId="1" builtinId="30" customBuiltin="1"/>
    <cellStyle name="20% - Ênfase2" xfId="2" builtinId="34" customBuiltin="1"/>
    <cellStyle name="20% - Ênfase3" xfId="3" builtinId="38" customBuiltin="1"/>
    <cellStyle name="20% - Ênfase4" xfId="4" builtinId="42" customBuiltin="1"/>
    <cellStyle name="20% - Ênfase5" xfId="5" builtinId="46" customBuiltin="1"/>
    <cellStyle name="20% - Ênfase6" xfId="6" builtinId="50" customBuiltin="1"/>
    <cellStyle name="40% - Ênfase1" xfId="7" builtinId="31" customBuiltin="1"/>
    <cellStyle name="40% - Ênfase2" xfId="8" builtinId="35" customBuiltin="1"/>
    <cellStyle name="40% - Ênfase3" xfId="9" builtinId="39" customBuiltin="1"/>
    <cellStyle name="40% - Ênfase4" xfId="10" builtinId="43" customBuiltin="1"/>
    <cellStyle name="40% - Ênfase5" xfId="11" builtinId="47" customBuiltin="1"/>
    <cellStyle name="40% - Ênfase6" xfId="12" builtinId="51" customBuiltin="1"/>
    <cellStyle name="60% - Ênfase1" xfId="13" builtinId="32" customBuiltin="1"/>
    <cellStyle name="60% - Ênfase2" xfId="14" builtinId="36" customBuiltin="1"/>
    <cellStyle name="60% - Ênfase3" xfId="15" builtinId="40" customBuiltin="1"/>
    <cellStyle name="60% - Ênfase4" xfId="16" builtinId="44" customBuiltin="1"/>
    <cellStyle name="60% - Ênfase5" xfId="17" builtinId="48" customBuiltin="1"/>
    <cellStyle name="60% - Ênfase6" xfId="18" builtinId="52" customBuiltin="1"/>
    <cellStyle name="Bom" xfId="19" builtinId="26" customBuiltin="1"/>
    <cellStyle name="Cálculo" xfId="20" builtinId="22" customBuiltin="1"/>
    <cellStyle name="Célula de Verificação" xfId="21" builtinId="23" customBuiltin="1"/>
    <cellStyle name="Célula Vinculada" xfId="22" builtinId="24" customBuiltin="1"/>
    <cellStyle name="Ênfase1" xfId="23" builtinId="29" customBuiltin="1"/>
    <cellStyle name="Ênfase2" xfId="24" builtinId="33" customBuiltin="1"/>
    <cellStyle name="Ênfase3" xfId="25" builtinId="37" customBuiltin="1"/>
    <cellStyle name="Ênfase4" xfId="26" builtinId="41" customBuiltin="1"/>
    <cellStyle name="Ênfase5" xfId="27" builtinId="45" customBuiltin="1"/>
    <cellStyle name="Ênfase6" xfId="28" builtinId="49" customBuiltin="1"/>
    <cellStyle name="Entrada" xfId="29" builtinId="20" customBuiltin="1"/>
    <cellStyle name="Moeda" xfId="48" builtinId="4"/>
    <cellStyle name="Neutro" xfId="31" builtinId="28" customBuiltin="1"/>
    <cellStyle name="Normal" xfId="0" builtinId="0"/>
    <cellStyle name="Normal 2 2 2" xfId="45" xr:uid="{00000000-0005-0000-0000-000021000000}"/>
    <cellStyle name="Normal 3 3" xfId="47" xr:uid="{00000000-0005-0000-0000-000022000000}"/>
    <cellStyle name="Normal 87" xfId="46" xr:uid="{00000000-0005-0000-0000-000023000000}"/>
    <cellStyle name="Nota" xfId="32" builtinId="10" customBuiltin="1"/>
    <cellStyle name="Porcentagem" xfId="33" builtinId="5"/>
    <cellStyle name="Ruim" xfId="30" builtinId="27" customBuiltin="1"/>
    <cellStyle name="Saída" xfId="34" builtinId="21" customBuiltin="1"/>
    <cellStyle name="Texto de Aviso" xfId="36" builtinId="11" customBuiltin="1"/>
    <cellStyle name="Texto Explicativo" xfId="37" builtinId="53" customBuiltin="1"/>
    <cellStyle name="Título" xfId="38" builtinId="15" customBuiltin="1"/>
    <cellStyle name="Título 1" xfId="39" builtinId="16" customBuiltin="1"/>
    <cellStyle name="Título 2" xfId="40" builtinId="17" customBuiltin="1"/>
    <cellStyle name="Título 3" xfId="41" builtinId="18" customBuiltin="1"/>
    <cellStyle name="Título 4" xfId="42" builtinId="19" customBuiltin="1"/>
    <cellStyle name="Total" xfId="43" builtinId="25" customBuiltin="1"/>
    <cellStyle name="Vírgula" xfId="35" builtinId="3"/>
    <cellStyle name="Vírgula 4" xfId="44" xr:uid="{00000000-0005-0000-0000-000030000000}"/>
  </cellStyles>
  <dxfs count="4">
    <dxf>
      <font>
        <b val="0"/>
        <i val="0"/>
        <color theme="0" tint="-0.14996795556505021"/>
        <name val="Calibri Light"/>
        <scheme val="none"/>
      </font>
      <fill>
        <patternFill>
          <fgColor indexed="64"/>
          <bgColor theme="0" tint="-0.14996795556505021"/>
        </patternFill>
      </fill>
      <border>
        <left/>
        <right/>
        <top style="thin">
          <color indexed="64"/>
        </top>
        <bottom style="thin">
          <color indexed="64"/>
        </bottom>
      </border>
    </dxf>
    <dxf>
      <font>
        <b val="0"/>
        <i val="0"/>
        <color theme="0" tint="-0.14996795556505021"/>
        <name val="Calibri Light"/>
        <scheme val="none"/>
      </font>
      <fill>
        <patternFill>
          <fgColor indexed="64"/>
          <bgColor theme="0" tint="-0.14996795556505021"/>
        </patternFill>
      </fill>
      <border>
        <left/>
        <right/>
        <top style="thin">
          <color indexed="64"/>
        </top>
        <bottom style="thin">
          <color indexed="64"/>
        </bottom>
      </border>
    </dxf>
    <dxf>
      <font>
        <b val="0"/>
        <i val="0"/>
        <color theme="0" tint="-0.14996795556505021"/>
        <name val="Calibri Light"/>
        <scheme val="none"/>
      </font>
      <fill>
        <patternFill>
          <fgColor indexed="64"/>
          <bgColor theme="0" tint="-0.14996795556505021"/>
        </patternFill>
      </fill>
      <border>
        <left/>
        <right/>
        <top style="thin">
          <color indexed="64"/>
        </top>
        <bottom style="thin">
          <color indexed="64"/>
        </bottom>
      </border>
    </dxf>
    <dxf>
      <font>
        <b val="0"/>
        <i val="0"/>
        <color theme="0" tint="-0.14996795556505021"/>
        <name val="Calibri Light"/>
        <scheme val="none"/>
      </font>
      <fill>
        <patternFill>
          <fgColor indexed="64"/>
          <bgColor theme="0" tint="-0.14996795556505021"/>
        </patternFill>
      </fill>
      <border>
        <left/>
        <right/>
        <top style="thin">
          <color indexed="64"/>
        </top>
        <bottom style="thin">
          <color indexed="64"/>
        </bottom>
      </border>
    </dxf>
  </dxfs>
  <tableStyles count="0" defaultTableStyle="TableStyleMedium9" defaultPivotStyle="PivotStyleLight16"/>
  <colors>
    <mruColors>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Google%20Drive/DFT%20Projetos/PROJETOS/SERRANIA/PROJETOS/PRA&#199;A/PROJETO%20PRACA%20SETE%20ORELHAS/PLANILHA%20M+&#220;LTIPLA%202.3%20-%20RAND%20201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al"/>
      <sheetName val="Novo!"/>
      <sheetName val="Dados"/>
      <sheetName val="BDI"/>
      <sheetName val="Orçamento"/>
      <sheetName val="Memória"/>
      <sheetName val="Comp"/>
      <sheetName val="Cot"/>
      <sheetName val="CronoFF"/>
      <sheetName val="QCI"/>
      <sheetName val="Memorial Descritivo"/>
      <sheetName val="Licitação"/>
      <sheetName val="CronoFF-L"/>
      <sheetName val="QCI-L"/>
      <sheetName val="BM"/>
      <sheetName val="RRE"/>
      <sheetName val="OFÍCIO"/>
      <sheetName val="CC"/>
    </sheetNames>
    <sheetDataSet>
      <sheetData sheetId="0" refreshError="1"/>
      <sheetData sheetId="1" refreshError="1"/>
      <sheetData sheetId="2" refreshError="1">
        <row r="29">
          <cell r="G29">
            <v>43009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K177"/>
  <sheetViews>
    <sheetView showGridLines="0" view="pageBreakPreview" topLeftCell="A163" zoomScale="75" zoomScaleNormal="75" zoomScaleSheetLayoutView="75" workbookViewId="0">
      <selection activeCell="I174" sqref="A168:I174"/>
    </sheetView>
  </sheetViews>
  <sheetFormatPr defaultColWidth="9.140625" defaultRowHeight="12.75" x14ac:dyDescent="0.2"/>
  <cols>
    <col min="1" max="1" width="7.7109375" style="3" customWidth="1"/>
    <col min="2" max="2" width="11.7109375" style="4" bestFit="1" customWidth="1"/>
    <col min="3" max="3" width="9.7109375" style="4" customWidth="1"/>
    <col min="4" max="4" width="49" style="14" customWidth="1"/>
    <col min="5" max="5" width="6.7109375" style="4" customWidth="1"/>
    <col min="6" max="6" width="11.5703125" style="5" bestFit="1" customWidth="1"/>
    <col min="7" max="8" width="12.7109375" style="5" customWidth="1"/>
    <col min="9" max="9" width="18.140625" style="5" customWidth="1"/>
    <col min="10" max="10" width="15.5703125" style="13" hidden="1" customWidth="1"/>
    <col min="11" max="11" width="21.28515625" style="4" customWidth="1"/>
    <col min="12" max="16384" width="9.140625" style="13"/>
  </cols>
  <sheetData>
    <row r="1" spans="1:11" ht="5.0999999999999996" customHeight="1" x14ac:dyDescent="0.2">
      <c r="A1" s="7"/>
      <c r="B1" s="8"/>
      <c r="C1" s="8"/>
      <c r="D1" s="53"/>
      <c r="E1" s="8"/>
      <c r="F1" s="15"/>
      <c r="G1" s="8"/>
      <c r="H1" s="8"/>
      <c r="I1" s="9"/>
    </row>
    <row r="2" spans="1:11" x14ac:dyDescent="0.2">
      <c r="A2" s="248" t="s">
        <v>51</v>
      </c>
      <c r="B2" s="248"/>
      <c r="C2" s="248"/>
      <c r="D2" s="248"/>
      <c r="E2" s="248"/>
      <c r="F2" s="248"/>
      <c r="G2" s="248"/>
      <c r="H2" s="248"/>
      <c r="I2" s="248"/>
    </row>
    <row r="3" spans="1:11" ht="5.0999999999999996" customHeight="1" x14ac:dyDescent="0.2">
      <c r="A3" s="110"/>
      <c r="B3" s="111"/>
      <c r="C3" s="111"/>
      <c r="D3" s="113"/>
      <c r="E3" s="111"/>
      <c r="F3" s="111"/>
      <c r="G3" s="111"/>
      <c r="H3" s="111"/>
      <c r="I3" s="112"/>
    </row>
    <row r="4" spans="1:11" x14ac:dyDescent="0.2">
      <c r="A4" s="16" t="str">
        <f>'MM CALC'!A3</f>
        <v>PREFEITURA MUNICIPAL DE BONFINÓPOLIS DE MINAS</v>
      </c>
      <c r="B4" s="2"/>
      <c r="C4" s="2"/>
      <c r="D4" s="54"/>
      <c r="E4" s="44" t="str">
        <f>'MM CALC'!E3</f>
        <v>DATA:02/07/2024</v>
      </c>
      <c r="F4" s="111"/>
      <c r="G4" s="55"/>
      <c r="H4" s="55"/>
      <c r="I4" s="39"/>
    </row>
    <row r="5" spans="1:11" x14ac:dyDescent="0.2">
      <c r="A5" s="16" t="str">
        <f>'MM CALC'!A4</f>
        <v>OBRA: REFORMA E AMPLIAÇÃO DO PSF VANDEIR JOSÉ BRANDÃO</v>
      </c>
      <c r="B5" s="2"/>
      <c r="C5" s="2"/>
      <c r="D5" s="54"/>
      <c r="E5" s="251"/>
      <c r="F5" s="252"/>
      <c r="G5" s="252"/>
      <c r="H5" s="252"/>
      <c r="I5" s="253"/>
    </row>
    <row r="6" spans="1:11" ht="30" customHeight="1" x14ac:dyDescent="0.2">
      <c r="A6" s="258" t="str">
        <f>'MM CALC'!A5</f>
        <v>LOCAL: RUA SÃO JOSÉ, 231, CENTRO, BONFINÓPOLIS DE MINAS-MG, CEP 38.650-000</v>
      </c>
      <c r="B6" s="259"/>
      <c r="C6" s="259"/>
      <c r="D6" s="260"/>
      <c r="E6" s="249" t="s">
        <v>15</v>
      </c>
      <c r="F6" s="250"/>
      <c r="G6" s="254" t="s">
        <v>493</v>
      </c>
      <c r="H6" s="255"/>
      <c r="I6" s="265">
        <v>5</v>
      </c>
    </row>
    <row r="7" spans="1:11" ht="15" customHeight="1" x14ac:dyDescent="0.2">
      <c r="A7" s="268" t="s">
        <v>492</v>
      </c>
      <c r="B7" s="269"/>
      <c r="C7" s="269"/>
      <c r="D7" s="270"/>
      <c r="E7" s="97" t="s">
        <v>5</v>
      </c>
      <c r="F7" s="98" t="s">
        <v>3</v>
      </c>
      <c r="G7" s="256"/>
      <c r="H7" s="257"/>
      <c r="I7" s="266"/>
    </row>
    <row r="8" spans="1:11" ht="15" customHeight="1" x14ac:dyDescent="0.2">
      <c r="A8" s="271"/>
      <c r="B8" s="272"/>
      <c r="C8" s="272"/>
      <c r="D8" s="273"/>
      <c r="E8" s="117" t="s">
        <v>14</v>
      </c>
      <c r="F8" s="99" t="s">
        <v>4</v>
      </c>
      <c r="G8" s="115" t="s">
        <v>34</v>
      </c>
      <c r="H8" s="116">
        <v>0.30909999999999999</v>
      </c>
      <c r="I8" s="267"/>
    </row>
    <row r="9" spans="1:11" ht="5.0999999999999996" customHeight="1" x14ac:dyDescent="0.2">
      <c r="A9" s="10"/>
      <c r="B9" s="2"/>
      <c r="C9" s="2"/>
      <c r="D9" s="11"/>
      <c r="E9" s="2"/>
      <c r="F9" s="21"/>
      <c r="G9" s="12"/>
      <c r="H9" s="12"/>
      <c r="I9" s="20"/>
    </row>
    <row r="10" spans="1:11" s="4" customFormat="1" ht="25.5" x14ac:dyDescent="0.2">
      <c r="A10" s="94" t="s">
        <v>0</v>
      </c>
      <c r="B10" s="95" t="s">
        <v>9</v>
      </c>
      <c r="C10" s="109" t="s">
        <v>52</v>
      </c>
      <c r="D10" s="100" t="s">
        <v>1</v>
      </c>
      <c r="E10" s="95" t="s">
        <v>6</v>
      </c>
      <c r="F10" s="93" t="s">
        <v>7</v>
      </c>
      <c r="G10" s="6" t="s">
        <v>16</v>
      </c>
      <c r="H10" s="6" t="s">
        <v>17</v>
      </c>
      <c r="I10" s="6" t="s">
        <v>8</v>
      </c>
    </row>
    <row r="11" spans="1:11" s="4" customFormat="1" x14ac:dyDescent="0.2">
      <c r="A11" s="176"/>
      <c r="B11" s="177"/>
      <c r="C11" s="177"/>
      <c r="D11" s="178"/>
      <c r="E11" s="177"/>
      <c r="F11" s="179"/>
      <c r="G11" s="180"/>
      <c r="H11" s="180"/>
      <c r="I11" s="188">
        <f>I164</f>
        <v>0</v>
      </c>
      <c r="J11" s="215">
        <f>I14+I15+I24+I28+I40+I46+I50+I54+I59+I64+I70+I76+I86+I88+I113+I133+I153+I162</f>
        <v>0</v>
      </c>
    </row>
    <row r="12" spans="1:11" s="4" customFormat="1" x14ac:dyDescent="0.2">
      <c r="A12" s="145">
        <f>'MM CALC'!A9</f>
        <v>1</v>
      </c>
      <c r="B12" s="143"/>
      <c r="C12" s="135"/>
      <c r="D12" s="173" t="str">
        <f>'MM CALC'!D9</f>
        <v>ADMINISTRAÇÃO LOCAL, CANTEIRO DE OBRAS E MOBILIZAÇÃO E DESMOBILIZAÇÃO</v>
      </c>
      <c r="E12" s="147"/>
      <c r="F12" s="148"/>
      <c r="G12" s="174"/>
      <c r="H12" s="174"/>
      <c r="I12" s="189">
        <f>SUM(I13:I14)</f>
        <v>0</v>
      </c>
    </row>
    <row r="13" spans="1:11" s="4" customFormat="1" ht="22.5" x14ac:dyDescent="0.2">
      <c r="A13" s="186" t="str">
        <f>'MM CALC'!A10</f>
        <v>1.1</v>
      </c>
      <c r="B13" s="164" t="str">
        <f>'MM CALC'!B10</f>
        <v>SEINFRA</v>
      </c>
      <c r="C13" s="134" t="str">
        <f>'MM CALC'!C10</f>
        <v>ED-50390</v>
      </c>
      <c r="D13" s="171" t="str">
        <f>'MM CALC'!D10</f>
        <v>MOBILIZAÇÃO E DESMOBILIZAÇÃO OBRA DISTANTE DE CENTRO URBANO COM ENTRE 1.000.000,01 E 3.000.000,00</v>
      </c>
      <c r="E13" s="172" t="str">
        <f>'MM CALC'!E10</f>
        <v>%</v>
      </c>
      <c r="F13" s="175">
        <f>'MM CALC'!F10</f>
        <v>1.4999999999999999E-2</v>
      </c>
      <c r="G13" s="197"/>
      <c r="H13" s="198"/>
      <c r="I13" s="198"/>
    </row>
    <row r="14" spans="1:11" s="4" customFormat="1" ht="45" x14ac:dyDescent="0.2">
      <c r="A14" s="186" t="str">
        <f>'MM CALC'!A11</f>
        <v>1.2</v>
      </c>
      <c r="B14" s="164" t="str">
        <f>'MM CALC'!B11</f>
        <v>SEINFRA</v>
      </c>
      <c r="C14" s="134" t="str">
        <f>'MM CALC'!C11</f>
        <v>ED-50128</v>
      </c>
      <c r="D14" s="171" t="str">
        <f>'MM CALC'!D11</f>
        <v>BARRACÃO DE OBRA PARA DEPÓSITO E FERRAMENTARIA TIPO-I, ÁREA INTERNA 14,52M2, EM CHAPA DE COMPENSADO RESINADO, INCLUSIVE MOBILIÁRIO (OBRA DE PEQUENO PORTE, EFETIVO ATÉ 30 HOMENS), PADRÃO DER-MG</v>
      </c>
      <c r="E14" s="172" t="str">
        <f>'MM CALC'!E11</f>
        <v>un</v>
      </c>
      <c r="F14" s="167">
        <f>'MM CALC'!F11</f>
        <v>1</v>
      </c>
      <c r="G14" s="197"/>
      <c r="H14" s="198"/>
      <c r="I14" s="198"/>
    </row>
    <row r="15" spans="1:11" s="56" customFormat="1" ht="11.25" x14ac:dyDescent="0.2">
      <c r="A15" s="135">
        <f>'MM CALC'!A12</f>
        <v>2</v>
      </c>
      <c r="B15" s="135"/>
      <c r="C15" s="135"/>
      <c r="D15" s="187" t="str">
        <f>'MM CALC'!D12</f>
        <v>PROJETOS COMPLEMENTARES (EXECUTIVO)</v>
      </c>
      <c r="E15" s="144"/>
      <c r="F15" s="139"/>
      <c r="G15" s="138"/>
      <c r="H15" s="138"/>
      <c r="I15" s="200"/>
      <c r="K15" s="102"/>
    </row>
    <row r="16" spans="1:11" s="4" customFormat="1" x14ac:dyDescent="0.2">
      <c r="A16" s="186" t="str">
        <f>'MM CALC'!A13</f>
        <v>2.1</v>
      </c>
      <c r="B16" s="164" t="str">
        <f>'MM CALC'!B13</f>
        <v>SEINFRA</v>
      </c>
      <c r="C16" s="134" t="str">
        <f>'MM CALC'!C13</f>
        <v>CO-27422</v>
      </c>
      <c r="D16" s="171" t="str">
        <f>'MM CALC'!D13</f>
        <v>PROJETO EXECUTIVO DE ARQUITETURA</v>
      </c>
      <c r="E16" s="172" t="str">
        <f>'MM CALC'!E13</f>
        <v>u</v>
      </c>
      <c r="F16" s="167">
        <f>'MM CALC'!F13</f>
        <v>1</v>
      </c>
      <c r="G16" s="197"/>
      <c r="H16" s="198"/>
      <c r="I16" s="198"/>
    </row>
    <row r="17" spans="1:11" s="4" customFormat="1" x14ac:dyDescent="0.2">
      <c r="A17" s="186" t="str">
        <f>'MM CALC'!A14</f>
        <v>2.2</v>
      </c>
      <c r="B17" s="164" t="str">
        <f>'MM CALC'!B14</f>
        <v>SEINFRA</v>
      </c>
      <c r="C17" s="134" t="str">
        <f>'MM CALC'!C14</f>
        <v>CO-27426</v>
      </c>
      <c r="D17" s="171" t="str">
        <f>'MM CALC'!D14</f>
        <v>PROJETO EXECUTIVO DE DRENAGEM PLUVIAL</v>
      </c>
      <c r="E17" s="172" t="str">
        <f>'MM CALC'!E14</f>
        <v>u</v>
      </c>
      <c r="F17" s="167">
        <f>'MM CALC'!F14</f>
        <v>1</v>
      </c>
      <c r="G17" s="197"/>
      <c r="H17" s="198"/>
      <c r="I17" s="198"/>
    </row>
    <row r="18" spans="1:11" s="4" customFormat="1" x14ac:dyDescent="0.2">
      <c r="A18" s="186" t="str">
        <f>'MM CALC'!A15</f>
        <v>2.3</v>
      </c>
      <c r="B18" s="164" t="str">
        <f>'MM CALC'!B15</f>
        <v>SEINFRA</v>
      </c>
      <c r="C18" s="134" t="str">
        <f>'MM CALC'!C15</f>
        <v>CO-27473</v>
      </c>
      <c r="D18" s="171" t="str">
        <f>'MM CALC'!D15</f>
        <v>PROJETO EXECUTIVO DE ENGRADAMENTO METÁLICO</v>
      </c>
      <c r="E18" s="172" t="str">
        <f>'MM CALC'!E15</f>
        <v>u</v>
      </c>
      <c r="F18" s="167">
        <f>'MM CALC'!F15</f>
        <v>1</v>
      </c>
      <c r="G18" s="197"/>
      <c r="H18" s="198"/>
      <c r="I18" s="198"/>
    </row>
    <row r="19" spans="1:11" s="4" customFormat="1" x14ac:dyDescent="0.2">
      <c r="A19" s="186" t="str">
        <f>'MM CALC'!A16</f>
        <v>2.4</v>
      </c>
      <c r="B19" s="164" t="str">
        <f>'MM CALC'!B16</f>
        <v>SEINFRA</v>
      </c>
      <c r="C19" s="134" t="str">
        <f>'MM CALC'!C16</f>
        <v>CO-27427</v>
      </c>
      <c r="D19" s="171" t="str">
        <f>'MM CALC'!D16</f>
        <v>PROJETO EXECUTIVO DE ESTRUTURA DE CONCRETO</v>
      </c>
      <c r="E19" s="172" t="str">
        <f>'MM CALC'!E16</f>
        <v>u</v>
      </c>
      <c r="F19" s="167">
        <f>'MM CALC'!F16</f>
        <v>1</v>
      </c>
      <c r="G19" s="197"/>
      <c r="H19" s="198"/>
      <c r="I19" s="198"/>
    </row>
    <row r="20" spans="1:11" s="4" customFormat="1" ht="22.5" x14ac:dyDescent="0.2">
      <c r="A20" s="186" t="str">
        <f>'MM CALC'!A17</f>
        <v>2.5</v>
      </c>
      <c r="B20" s="164" t="str">
        <f>'MM CALC'!B17</f>
        <v>SEINFRA</v>
      </c>
      <c r="C20" s="134" t="str">
        <f>'MM CALC'!C17</f>
        <v>CO-27433</v>
      </c>
      <c r="D20" s="171" t="str">
        <f>'MM CALC'!D17</f>
        <v>PROJETO EXECUTIVO DE INFRAESTRUTURA DE CABEAMENTO ESTRUTURADO/CFTV/ALARME/SEGURANÇA/SONORIZAÇÃO</v>
      </c>
      <c r="E20" s="172" t="str">
        <f>'MM CALC'!E17</f>
        <v>u</v>
      </c>
      <c r="F20" s="167">
        <f>'MM CALC'!F17</f>
        <v>1</v>
      </c>
      <c r="G20" s="197"/>
      <c r="H20" s="198"/>
      <c r="I20" s="198"/>
    </row>
    <row r="21" spans="1:11" s="4" customFormat="1" x14ac:dyDescent="0.2">
      <c r="A21" s="186" t="str">
        <f>'MM CALC'!A18</f>
        <v>2.6</v>
      </c>
      <c r="B21" s="164" t="str">
        <f>'MM CALC'!B18</f>
        <v>SEINFRA</v>
      </c>
      <c r="C21" s="134" t="str">
        <f>'MM CALC'!C18</f>
        <v>CO-27431</v>
      </c>
      <c r="D21" s="171" t="str">
        <f>'MM CALC'!D18</f>
        <v>PROJETO EXECUTIVO DE INSTALAÇÕES ELÉTRICAS</v>
      </c>
      <c r="E21" s="172" t="str">
        <f>'MM CALC'!E18</f>
        <v>u</v>
      </c>
      <c r="F21" s="167">
        <f>'MM CALC'!F18</f>
        <v>1</v>
      </c>
      <c r="G21" s="197"/>
      <c r="H21" s="198"/>
      <c r="I21" s="198"/>
    </row>
    <row r="22" spans="1:11" s="4" customFormat="1" x14ac:dyDescent="0.2">
      <c r="A22" s="186" t="str">
        <f>'MM CALC'!A19</f>
        <v>2.7</v>
      </c>
      <c r="B22" s="164" t="str">
        <f>'MM CALC'!B19</f>
        <v>SEINFRA</v>
      </c>
      <c r="C22" s="134" t="str">
        <f>'MM CALC'!C19</f>
        <v>CO-27430</v>
      </c>
      <c r="D22" s="171" t="str">
        <f>'MM CALC'!D19</f>
        <v>PROJETO EXECUTIVO DE INSTALAÇÕES HIDRO SANITÁRIAS</v>
      </c>
      <c r="E22" s="172" t="str">
        <f>'MM CALC'!E19</f>
        <v>u</v>
      </c>
      <c r="F22" s="167">
        <f>'MM CALC'!F19</f>
        <v>1</v>
      </c>
      <c r="G22" s="197"/>
      <c r="H22" s="198"/>
      <c r="I22" s="198"/>
    </row>
    <row r="23" spans="1:11" s="4" customFormat="1" x14ac:dyDescent="0.2">
      <c r="A23" s="186" t="str">
        <f>'MM CALC'!A20</f>
        <v>2.8</v>
      </c>
      <c r="B23" s="164" t="str">
        <f>'MM CALC'!B20</f>
        <v>SEINFRA</v>
      </c>
      <c r="C23" s="134" t="str">
        <f>'MM CALC'!C20</f>
        <v>CO-27468</v>
      </c>
      <c r="D23" s="171" t="str">
        <f>'MM CALC'!D20</f>
        <v>PROJETO EXECUTIVO DE PREVENÇÃO E COMBATE A INCÊNDIO</v>
      </c>
      <c r="E23" s="172" t="str">
        <f>'MM CALC'!E20</f>
        <v>u</v>
      </c>
      <c r="F23" s="167">
        <f>'MM CALC'!F20</f>
        <v>1</v>
      </c>
      <c r="G23" s="197"/>
      <c r="H23" s="198"/>
      <c r="I23" s="198"/>
    </row>
    <row r="24" spans="1:11" s="56" customFormat="1" ht="11.25" x14ac:dyDescent="0.2">
      <c r="A24" s="135">
        <f>'MM CALC'!A21</f>
        <v>3</v>
      </c>
      <c r="B24" s="135"/>
      <c r="C24" s="135"/>
      <c r="D24" s="187" t="str">
        <f>'MM CALC'!D21</f>
        <v>SERVIÇOS PRELIMINARES</v>
      </c>
      <c r="E24" s="144"/>
      <c r="F24" s="139"/>
      <c r="G24" s="138"/>
      <c r="H24" s="138"/>
      <c r="I24" s="200"/>
      <c r="K24" s="102"/>
    </row>
    <row r="25" spans="1:11" s="56" customFormat="1" ht="33.75" x14ac:dyDescent="0.2">
      <c r="A25" s="186" t="str">
        <f>'MM CALC'!A22</f>
        <v>3.1</v>
      </c>
      <c r="B25" s="134" t="str">
        <f>'MM CALC'!B22</f>
        <v>SEINFRA</v>
      </c>
      <c r="C25" s="134" t="str">
        <f>'MM CALC'!C22</f>
        <v>ED-50703</v>
      </c>
      <c r="D25" s="171" t="str">
        <f>'MM CALC'!D22</f>
        <v>LIMPEZA DE TERRENO, INCLUSIVE CAPINA, RASTELAMENTO COM AFASTAMENTO ATÉ VINTE (20) METROS E QUEIMA CONTROLADA</v>
      </c>
      <c r="E25" s="181" t="str">
        <f>'MM CALC'!E22</f>
        <v>m²</v>
      </c>
      <c r="F25" s="163">
        <f>'MM CALC'!F22</f>
        <v>81.260000000000005</v>
      </c>
      <c r="G25" s="197"/>
      <c r="H25" s="198"/>
      <c r="I25" s="198"/>
      <c r="K25" s="102"/>
    </row>
    <row r="26" spans="1:11" s="51" customFormat="1" ht="78.75" x14ac:dyDescent="0.2">
      <c r="A26" s="186" t="str">
        <f>'MM CALC'!A23</f>
        <v>3.2</v>
      </c>
      <c r="B26" s="134" t="str">
        <f>'MM CALC'!B23</f>
        <v>SEINFRA</v>
      </c>
      <c r="C26" s="134" t="str">
        <f>'MM CALC'!C23</f>
        <v>ED-28427</v>
      </c>
      <c r="D26" s="171" t="str">
        <f>'MM CALC'!D23</f>
        <v>FORNECIMENTO E COLOCAÇÃO DE PLACA DE OBRA EM CHAPA
GALVANIZADA #26, ESP. 0,45MM, DIMENSÃO (3X1,5)M, PLOTADA
COM ADESIVO VINÍLICO, AFIXADA COM REBITES 4,8X40MM, EM
ESTRUTURA METÁLICA DE METALON 20X20MM, ESP. 1,25MM,
INCLUSIVE SUPORTE EM EUCALIPTO AUTOCLAVADO PINTADO
COM TINTA PVA DUAS (2) DEMÃOS</v>
      </c>
      <c r="E26" s="181" t="str">
        <f>'MM CALC'!E23</f>
        <v>u</v>
      </c>
      <c r="F26" s="163">
        <f>'MM CALC'!F23</f>
        <v>1</v>
      </c>
      <c r="G26" s="198"/>
      <c r="H26" s="198"/>
      <c r="I26" s="198"/>
      <c r="K26" s="103"/>
    </row>
    <row r="27" spans="1:11" s="51" customFormat="1" ht="45" x14ac:dyDescent="0.2">
      <c r="A27" s="186" t="str">
        <f>'MM CALC'!A24</f>
        <v>3.3</v>
      </c>
      <c r="B27" s="134" t="str">
        <f>'MM CALC'!B24</f>
        <v>SEINFRA</v>
      </c>
      <c r="C27" s="134" t="str">
        <f>'MM CALC'!C24</f>
        <v>ED-17989</v>
      </c>
      <c r="D27" s="171" t="str">
        <f>'MM CALC'!D24</f>
        <v>LOCAÇÃO DE OBRA COM GABARITO DE TÁBUAS CORRIDAS
PONTALETADAS A CADA 2,00M, REAPROVEITAMENTO (2X),
INCLUSIVE ACOMPANHAMENTO DE EQUIPE TOPOGRÁFICA PARA
MARCAÇÃO DE PONTO TOPOGRÁFICO</v>
      </c>
      <c r="E27" s="181" t="str">
        <f>'MM CALC'!E24</f>
        <v>m</v>
      </c>
      <c r="F27" s="163">
        <f>'MM CALC'!F24</f>
        <v>59.519999999999996</v>
      </c>
      <c r="G27" s="198"/>
      <c r="H27" s="198"/>
      <c r="I27" s="198"/>
      <c r="K27" s="101"/>
    </row>
    <row r="28" spans="1:11" s="56" customFormat="1" ht="11.25" x14ac:dyDescent="0.2">
      <c r="A28" s="135">
        <f>'MM CALC'!A25</f>
        <v>4</v>
      </c>
      <c r="B28" s="142"/>
      <c r="C28" s="143"/>
      <c r="D28" s="136" t="s">
        <v>307</v>
      </c>
      <c r="E28" s="161"/>
      <c r="F28" s="208"/>
      <c r="G28" s="138"/>
      <c r="H28" s="138"/>
      <c r="I28" s="200"/>
      <c r="K28" s="104"/>
    </row>
    <row r="29" spans="1:11" s="51" customFormat="1" ht="56.25" x14ac:dyDescent="0.2">
      <c r="A29" s="134" t="str">
        <f>'MM CALC'!A26</f>
        <v>4.1</v>
      </c>
      <c r="B29" s="134" t="str">
        <f>'MM CALC'!B26</f>
        <v>SEINFRA</v>
      </c>
      <c r="C29" s="164" t="str">
        <f>'MM CALC'!C26</f>
        <v>ED-48493</v>
      </c>
      <c r="D29" s="182" t="str">
        <f>'MM CALC'!D26</f>
        <v>REMOÇÃO MANUAL DE ESQUADRIA EM MADEIRA, COM REAPROVEITAMENTO, INCLUSIVE REMOÇÃO DE MARCO/ALIZAR/ GUARNIÇÕES, AFASTAMENTO E EMPILHAMENTO, EXCLUSIVE TRANSPORTE E RETIRADA DO MATERIAL REMOVIDO NÃO REAPROVEITÁVEL</v>
      </c>
      <c r="E29" s="181" t="str">
        <f>'MM CALC'!E26</f>
        <v>m2</v>
      </c>
      <c r="F29" s="163">
        <f>'MM CALC'!F26</f>
        <v>18.690000000000001</v>
      </c>
      <c r="G29" s="198"/>
      <c r="H29" s="198"/>
      <c r="I29" s="198"/>
      <c r="K29" s="103"/>
    </row>
    <row r="30" spans="1:11" s="51" customFormat="1" ht="51.75" customHeight="1" x14ac:dyDescent="0.2">
      <c r="A30" s="134" t="str">
        <f>'MM CALC'!A27</f>
        <v>4.2</v>
      </c>
      <c r="B30" s="134" t="str">
        <f>'MM CALC'!B27</f>
        <v>SEINFRA</v>
      </c>
      <c r="C30" s="164" t="str">
        <f>'MM CALC'!C27</f>
        <v>ED-48497</v>
      </c>
      <c r="D30" s="182" t="str">
        <f>'MM CALC'!D27</f>
        <v>REMOÇÃO MANUAL DE ESQUADRIA METÁLICA, COM REAPROVEITAMENTO, INCLUSIVE MARCO/ALIZAR/GUARNIÇÕES, AFASTAMENTO E EMPILHAMENTO, EXCLUSIVE TRANSPORTE E RETIRADA DO MATERIAL REMOVIDO NÃO REAPROVEITÁVEL</v>
      </c>
      <c r="E30" s="181" t="str">
        <f>'MM CALC'!E27</f>
        <v>m2</v>
      </c>
      <c r="F30" s="163">
        <f>'MM CALC'!F27</f>
        <v>3.88</v>
      </c>
      <c r="G30" s="198"/>
      <c r="H30" s="198"/>
      <c r="I30" s="198"/>
      <c r="K30" s="103"/>
    </row>
    <row r="31" spans="1:11" s="51" customFormat="1" ht="45" x14ac:dyDescent="0.2">
      <c r="A31" s="134" t="str">
        <f>'MM CALC'!A28</f>
        <v>4.3</v>
      </c>
      <c r="B31" s="134" t="str">
        <f>'MM CALC'!B28</f>
        <v>SEINFRA</v>
      </c>
      <c r="C31" s="164" t="str">
        <f>'MM CALC'!C28</f>
        <v>ED-48467</v>
      </c>
      <c r="D31" s="182" t="str">
        <f>'MM CALC'!D28</f>
        <v>REMOÇÃO DE LOUÇAS (LAVATÓRIO, BANHEIRA, PIA, VASO SANITÁRIO, TANQUE), COM REAPROVEITAMENTO, INCLUSIVE AFASTAMENTO E EMPILHAMENTO, EXCLUSIVE TRANSPORTE E RETIRADA DO MATERIAL REMOVIDO NÃO REAPROVEITÁVEL</v>
      </c>
      <c r="E31" s="181" t="str">
        <f>'MM CALC'!E28</f>
        <v>un</v>
      </c>
      <c r="F31" s="163">
        <f>'MM CALC'!F28</f>
        <v>7</v>
      </c>
      <c r="G31" s="198"/>
      <c r="H31" s="198"/>
      <c r="I31" s="198"/>
      <c r="K31" s="103"/>
    </row>
    <row r="32" spans="1:11" s="51" customFormat="1" ht="56.25" x14ac:dyDescent="0.2">
      <c r="A32" s="134" t="str">
        <f>'MM CALC'!A29</f>
        <v>4.4</v>
      </c>
      <c r="B32" s="134" t="str">
        <f>'MM CALC'!B29</f>
        <v>SEINFRA</v>
      </c>
      <c r="C32" s="164" t="str">
        <f>'MM CALC'!C29</f>
        <v>ED-48470</v>
      </c>
      <c r="D32" s="182" t="str">
        <f>'MM CALC'!D29</f>
        <v>REMOÇÃO MANUAL DE METAIS COMUNS E ACABAMENTOS ( TORNEIRA, ACABAMENTO PARA REGISTRO, SIFÃO, ENGATE FLEXÍVEL, ETC.), COM REAPROVEITAMENTO, INCLUSIVE AFASTAMENTO E EMPILHAMENTO, EXCLUSIVE TRANSPORTE E RETIRADA DO MATERIAL REMOVIDO NÃO REAPROVEITÁVEL</v>
      </c>
      <c r="E32" s="181" t="str">
        <f>'MM CALC'!E29</f>
        <v>un</v>
      </c>
      <c r="F32" s="163">
        <f>'MM CALC'!F29</f>
        <v>10</v>
      </c>
      <c r="G32" s="198"/>
      <c r="H32" s="198"/>
      <c r="I32" s="198"/>
      <c r="K32" s="103"/>
    </row>
    <row r="33" spans="1:11" s="51" customFormat="1" ht="56.25" x14ac:dyDescent="0.2">
      <c r="A33" s="134" t="str">
        <f>'MM CALC'!A30</f>
        <v>4.5</v>
      </c>
      <c r="B33" s="134" t="str">
        <f>'MM CALC'!B30</f>
        <v>SEINFRA</v>
      </c>
      <c r="C33" s="164" t="str">
        <f>'MM CALC'!C30</f>
        <v>ED-48471</v>
      </c>
      <c r="D33" s="182" t="str">
        <f>'MM CALC'!D30</f>
        <v>REMOÇÃO MANUAL DE METAIS EMBUTIDOS (BASE DE REGISTRO, VÁLVULA DE DESCARGA, TORNEIRA ANTIVANDALISMO, ETC.), COM REAPROVEITAMENTO, INCLUSIVE AFASTAMENTO E EMPILHAMENTO, EXCLUSIVE TRANSPORTE E RETIRADA DO MATERIAL REMOVIDO NÃO REAPROVEITÁVEL</v>
      </c>
      <c r="E33" s="181" t="str">
        <f>'MM CALC'!E30</f>
        <v>un</v>
      </c>
      <c r="F33" s="163">
        <f>'MM CALC'!F30</f>
        <v>8</v>
      </c>
      <c r="G33" s="198"/>
      <c r="H33" s="198"/>
      <c r="I33" s="198"/>
      <c r="K33" s="103"/>
    </row>
    <row r="34" spans="1:11" s="51" customFormat="1" ht="50.45" customHeight="1" x14ac:dyDescent="0.2">
      <c r="A34" s="134" t="str">
        <f>'MM CALC'!A31</f>
        <v>4.6</v>
      </c>
      <c r="B34" s="134" t="str">
        <f>'MM CALC'!B31</f>
        <v>SEINFRA</v>
      </c>
      <c r="C34" s="164" t="str">
        <f>'MM CALC'!C31</f>
        <v>ED-48459</v>
      </c>
      <c r="D34" s="247" t="str">
        <f>'MM CALC'!D31</f>
        <v xml:space="preserve"> REMOÇÃO MANUAL DE FORRO DE PLACAS (GESSO, MINERAL,
FIBRA, ISOPOR, COLMEIA, PVC, ETC.), COM REAPROVEITAMENTO,
INCLUSIVE DEMOLIÇÃO ESTRUTURA DE SUSTENTAÇÃO,
AFASTAMENTO E EMPILHAMENTO, EXCLUSIVE TRANSPORTE E
RETIRADA DO MATERIAL REMOVIDO NÃO REAPROVEITÁVEL
</v>
      </c>
      <c r="E34" s="181" t="str">
        <f>'MM CALC'!E31</f>
        <v>m2</v>
      </c>
      <c r="F34" s="163">
        <f>'MM CALC'!F31</f>
        <v>83.600000000000009</v>
      </c>
      <c r="G34" s="198"/>
      <c r="H34" s="198"/>
      <c r="I34" s="198"/>
      <c r="K34" s="103"/>
    </row>
    <row r="35" spans="1:11" s="51" customFormat="1" ht="45" x14ac:dyDescent="0.2">
      <c r="A35" s="134" t="str">
        <f>'MM CALC'!A32</f>
        <v>4.7</v>
      </c>
      <c r="B35" s="134" t="str">
        <f>'MM CALC'!B32</f>
        <v>SEINFRA</v>
      </c>
      <c r="C35" s="164" t="str">
        <f>'MM CALC'!C32</f>
        <v>ED-48435</v>
      </c>
      <c r="D35" s="182" t="str">
        <f>'MM CALC'!D32</f>
        <v>DEMOLIÇÃO MANUAL DE ALVENARIA DE TIJOLO CERÂMICO OU BLOCO DE CONCRETO, INCLUSIVE AFASTAMENTO E EMPILHAMENTO, EXCLUSIVE TRANSPORTE E RETIRADA DO MATERIAL DEMOLIDO</v>
      </c>
      <c r="E35" s="181" t="str">
        <f>'MM CALC'!E32</f>
        <v>m3</v>
      </c>
      <c r="F35" s="163">
        <f>'MM CALC'!F32</f>
        <v>9.99</v>
      </c>
      <c r="G35" s="198"/>
      <c r="H35" s="198"/>
      <c r="I35" s="198"/>
      <c r="K35" s="103"/>
    </row>
    <row r="36" spans="1:11" s="51" customFormat="1" ht="45" x14ac:dyDescent="0.2">
      <c r="A36" s="134" t="str">
        <f>'MM CALC'!A33</f>
        <v>4.8</v>
      </c>
      <c r="B36" s="134" t="str">
        <f>'MM CALC'!B33</f>
        <v>SEINFRA</v>
      </c>
      <c r="C36" s="164" t="str">
        <f>'MM CALC'!C33</f>
        <v>ED-48442</v>
      </c>
      <c r="D36" s="182" t="str">
        <f>'MM CALC'!D33</f>
        <v>DEMOLIÇÃO MECANIZADA DE CONCRETO, SEM ARMAÇÃO, COM EQUIPAMENTO ELÉTRICO, INCLUSIVE AFASTAMENTO E EMPILHAMENTO, EXCLUSIVE TRANSPORTE E RETIRADA DO MATERIAL DEMOLIDO</v>
      </c>
      <c r="E36" s="181" t="str">
        <f>'MM CALC'!E33</f>
        <v>m3</v>
      </c>
      <c r="F36" s="163">
        <f>'MM CALC'!F33</f>
        <v>8.4223999999999997</v>
      </c>
      <c r="G36" s="198"/>
      <c r="H36" s="198"/>
      <c r="I36" s="198"/>
      <c r="K36" s="103"/>
    </row>
    <row r="37" spans="1:11" s="51" customFormat="1" ht="45" x14ac:dyDescent="0.2">
      <c r="A37" s="134" t="str">
        <f>'MM CALC'!A34</f>
        <v>4.9</v>
      </c>
      <c r="B37" s="134" t="str">
        <f>'MM CALC'!B34</f>
        <v>SEINFRA</v>
      </c>
      <c r="C37" s="164" t="str">
        <f>'MM CALC'!C34</f>
        <v>ED-48502</v>
      </c>
      <c r="D37" s="182" t="str">
        <f>'MM CALC'!D34</f>
        <v>DEMOLIÇÃO MANUAL DE REVESTIMENTO CERÂMICO, AZULEJO OU LADRILHO HIDRÁULICO, INCLUSIVE AFASTAMENTO E EMPILHAMENTO, EXCLUSIVE DEMOLIÇÃO DO REBOCO OU EMBOÇO, TRANSPORTE E RETIRADA DO MATERIAL DEMOLIDO</v>
      </c>
      <c r="E37" s="181" t="str">
        <f>'MM CALC'!E34</f>
        <v>m2</v>
      </c>
      <c r="F37" s="163">
        <f>'MM CALC'!F34</f>
        <v>201.63</v>
      </c>
      <c r="G37" s="198"/>
      <c r="H37" s="198"/>
      <c r="I37" s="198"/>
      <c r="K37" s="103"/>
    </row>
    <row r="38" spans="1:11" s="51" customFormat="1" ht="45" x14ac:dyDescent="0.2">
      <c r="A38" s="134" t="str">
        <f>'MM CALC'!A35</f>
        <v>4.10</v>
      </c>
      <c r="B38" s="134" t="str">
        <f>'MM CALC'!B35</f>
        <v>SEINFRA</v>
      </c>
      <c r="C38" s="164" t="str">
        <f>'MM CALC'!C35</f>
        <v>ED-48514</v>
      </c>
      <c r="D38" s="182" t="str">
        <f>'MM CALC'!D35</f>
        <v>REMOÇÃO MANUAL DE TELHA CERÂMICA, COM REAPROVEITAMENTO, INCLUSIVE AFASTAMENTO E EMPILHAMENTO, EXCLUSIVE TRANSPORTE E RETIRADA DO MATERIAL REMOVIDO NÃO REAPROVEITÁVEL</v>
      </c>
      <c r="E38" s="181" t="str">
        <f>'MM CALC'!E35</f>
        <v>m2</v>
      </c>
      <c r="F38" s="163">
        <f>'MM CALC'!F35</f>
        <v>251.64</v>
      </c>
      <c r="G38" s="198"/>
      <c r="H38" s="198"/>
      <c r="I38" s="198"/>
      <c r="K38" s="103"/>
    </row>
    <row r="39" spans="1:11" s="51" customFormat="1" ht="45" x14ac:dyDescent="0.2">
      <c r="A39" s="134" t="str">
        <f>'MM CALC'!A36</f>
        <v>4.11</v>
      </c>
      <c r="B39" s="134" t="str">
        <f>'MM CALC'!B36</f>
        <v>SEINFRA</v>
      </c>
      <c r="C39" s="164" t="str">
        <f>'MM CALC'!C36</f>
        <v>ED-48457</v>
      </c>
      <c r="D39" s="182" t="str">
        <f>'MM CALC'!D36</f>
        <v>REMOÇÃO MANUAL DE ENGRADAMENTO PARA TELHA TIPO CERÂMICA OU CONCRETO, INCLUSIVE AFASTAMENTO E EMPILHAMENTO, EXCLUSIVE TRANSPORTE E RETIRADA DO MATERIAL REMOVIDO NÃO REAPROVEITÁVEL</v>
      </c>
      <c r="E39" s="181" t="str">
        <f>'MM CALC'!E36</f>
        <v>m2</v>
      </c>
      <c r="F39" s="163">
        <f>'MM CALC'!F36</f>
        <v>251.64</v>
      </c>
      <c r="G39" s="198"/>
      <c r="H39" s="198"/>
      <c r="I39" s="198"/>
      <c r="K39" s="103"/>
    </row>
    <row r="40" spans="1:11" s="56" customFormat="1" ht="11.25" x14ac:dyDescent="0.2">
      <c r="A40" s="135">
        <f>'MM CALC'!A37</f>
        <v>5</v>
      </c>
      <c r="B40" s="135"/>
      <c r="C40" s="156"/>
      <c r="D40" s="212" t="str">
        <f>'MM CALC'!D37</f>
        <v>TRABALHOS EM TERRA</v>
      </c>
      <c r="E40" s="161"/>
      <c r="F40" s="208"/>
      <c r="G40" s="138"/>
      <c r="H40" s="138"/>
      <c r="I40" s="200"/>
      <c r="K40" s="102"/>
    </row>
    <row r="41" spans="1:11" s="51" customFormat="1" ht="11.25" x14ac:dyDescent="0.2">
      <c r="A41" s="134" t="str">
        <f>'MM CALC'!A38</f>
        <v>5.1</v>
      </c>
      <c r="B41" s="134" t="str">
        <f>'MM CALC'!B38</f>
        <v>SEINFRA</v>
      </c>
      <c r="C41" s="164" t="str">
        <f>'MM CALC'!C38</f>
        <v>ED-51107</v>
      </c>
      <c r="D41" s="182" t="str">
        <f>'MM CALC'!D38</f>
        <v>ESCAVAÇÃO MANUAL DE VALAS H &lt;= 1,50 M</v>
      </c>
      <c r="E41" s="181" t="str">
        <f>'MM CALC'!E38</f>
        <v>m³</v>
      </c>
      <c r="F41" s="163">
        <f>'MM CALC'!F38</f>
        <v>15.498249999999999</v>
      </c>
      <c r="G41" s="198"/>
      <c r="H41" s="198"/>
      <c r="I41" s="198"/>
      <c r="K41" s="103"/>
    </row>
    <row r="42" spans="1:11" s="51" customFormat="1" ht="11.25" x14ac:dyDescent="0.2">
      <c r="A42" s="134" t="str">
        <f>'MM CALC'!A39</f>
        <v>5.2</v>
      </c>
      <c r="B42" s="134" t="str">
        <f>'MM CALC'!B39</f>
        <v>SEINFRA</v>
      </c>
      <c r="C42" s="164" t="str">
        <f>'MM CALC'!C39</f>
        <v>ED-51093</v>
      </c>
      <c r="D42" s="182" t="str">
        <f>'MM CALC'!D39</f>
        <v>APILOAMENTO DO FUNDO DE VALAS COM SOQUETE</v>
      </c>
      <c r="E42" s="181" t="str">
        <f>'MM CALC'!E39</f>
        <v>m²</v>
      </c>
      <c r="F42" s="163">
        <f>'MM CALC'!F39</f>
        <v>33.674999999999997</v>
      </c>
      <c r="G42" s="198"/>
      <c r="H42" s="198"/>
      <c r="I42" s="198"/>
      <c r="K42" s="103"/>
    </row>
    <row r="43" spans="1:11" s="51" customFormat="1" ht="11.25" x14ac:dyDescent="0.2">
      <c r="A43" s="134" t="str">
        <f>'MM CALC'!A40</f>
        <v>5.3</v>
      </c>
      <c r="B43" s="134" t="str">
        <f>'MM CALC'!B40</f>
        <v>PREFEITURA</v>
      </c>
      <c r="C43" s="164" t="str">
        <f>'MM CALC'!C40</f>
        <v>-</v>
      </c>
      <c r="D43" s="182" t="str">
        <f>'MM CALC'!D40</f>
        <v>MATERIAL PARA ATERRO</v>
      </c>
      <c r="E43" s="181" t="str">
        <f>'MM CALC'!E40</f>
        <v>m³</v>
      </c>
      <c r="F43" s="163">
        <f>'MM CALC'!F40</f>
        <v>6.343</v>
      </c>
      <c r="G43" s="274"/>
      <c r="H43" s="275"/>
      <c r="I43" s="276"/>
      <c r="K43" s="103"/>
    </row>
    <row r="44" spans="1:11" s="51" customFormat="1" ht="22.5" x14ac:dyDescent="0.2">
      <c r="A44" s="134" t="str">
        <f>'MM CALC'!A41</f>
        <v>5.4</v>
      </c>
      <c r="B44" s="134" t="str">
        <f>'MM CALC'!B41</f>
        <v>SEINFRA</v>
      </c>
      <c r="C44" s="164" t="str">
        <f>'MM CALC'!C41</f>
        <v>ED-51096</v>
      </c>
      <c r="D44" s="182" t="str">
        <f>'MM CALC'!D41</f>
        <v>COMPACTAÇÃO MECANIZADA DE ATERRO COM PLACA VIBRATÓRIA, INCLUSIVE ESPALHAMENTO MANUAL</v>
      </c>
      <c r="E44" s="181" t="str">
        <f>'MM CALC'!E41</f>
        <v>m³</v>
      </c>
      <c r="F44" s="163">
        <f>'MM CALC'!F41</f>
        <v>6.343</v>
      </c>
      <c r="G44" s="198"/>
      <c r="H44" s="198"/>
      <c r="I44" s="198"/>
      <c r="K44" s="103"/>
    </row>
    <row r="45" spans="1:11" s="51" customFormat="1" ht="11.25" x14ac:dyDescent="0.2">
      <c r="A45" s="135">
        <f>'MM CALC'!A42</f>
        <v>6</v>
      </c>
      <c r="B45" s="135"/>
      <c r="C45" s="156"/>
      <c r="D45" s="212" t="str">
        <f>'MM CALC'!D42</f>
        <v>ESTRUTURAS EM CONCRETO ARMADO</v>
      </c>
      <c r="E45" s="161"/>
      <c r="F45" s="208"/>
      <c r="G45" s="190"/>
      <c r="H45" s="190"/>
      <c r="I45" s="202"/>
      <c r="K45" s="103"/>
    </row>
    <row r="46" spans="1:11" s="56" customFormat="1" ht="11.25" x14ac:dyDescent="0.2">
      <c r="A46" s="135" t="str">
        <f>'MM CALC'!A43</f>
        <v>6.1</v>
      </c>
      <c r="B46" s="135"/>
      <c r="C46" s="156"/>
      <c r="D46" s="212" t="str">
        <f>'MM CALC'!D43</f>
        <v>FUNDAÇÃO - SAPATAS E PILARES DE ARRANQUE</v>
      </c>
      <c r="E46" s="161"/>
      <c r="F46" s="208"/>
      <c r="G46" s="138"/>
      <c r="H46" s="138"/>
      <c r="I46" s="200"/>
      <c r="K46" s="102"/>
    </row>
    <row r="47" spans="1:11" s="51" customFormat="1" ht="22.5" x14ac:dyDescent="0.2">
      <c r="A47" s="134" t="str">
        <f>'MM CALC'!A44</f>
        <v>6.1.1</v>
      </c>
      <c r="B47" s="134" t="str">
        <f>'MM CALC'!B44</f>
        <v>SEINFRA</v>
      </c>
      <c r="C47" s="164" t="str">
        <f>'MM CALC'!C44</f>
        <v>ED-49812</v>
      </c>
      <c r="D47" s="182" t="str">
        <f>'MM CALC'!D44</f>
        <v>LASTRO DE CONCRETO MAGRO, INCLUSIVE TRANSPORTE, LANÇAMENTO E ADENSAMENTO</v>
      </c>
      <c r="E47" s="181" t="str">
        <f>'MM CALC'!E44</f>
        <v>m³</v>
      </c>
      <c r="F47" s="163">
        <f>'MM CALC'!F44</f>
        <v>1.6657500000000001</v>
      </c>
      <c r="G47" s="198"/>
      <c r="H47" s="198"/>
      <c r="I47" s="198"/>
      <c r="K47" s="103"/>
    </row>
    <row r="48" spans="1:11" s="51" customFormat="1" ht="33.75" x14ac:dyDescent="0.2">
      <c r="A48" s="134" t="str">
        <f>'MM CALC'!A45</f>
        <v>6.1.2</v>
      </c>
      <c r="B48" s="134" t="str">
        <f>'MM CALC'!B45</f>
        <v>SEINFRA</v>
      </c>
      <c r="C48" s="164" t="str">
        <f>'MM CALC'!C45</f>
        <v>ED-49787</v>
      </c>
      <c r="D48" s="182" t="str">
        <f>'MM CALC'!D45</f>
        <v>FORNECIMENTO DE CONCRETO ESTRUTURAL, PREPARADO EM OBRA COM BETONEIRA, COM FCK 25 MPA, INCLUSIVE LANÇAMENTO, ADENSAMENTO E ACABAMENTO (FUNDAÇÃO)</v>
      </c>
      <c r="E48" s="181" t="str">
        <f>'MM CALC'!E45</f>
        <v>m³</v>
      </c>
      <c r="F48" s="163">
        <f>'MM CALC'!F45</f>
        <v>5.7279999999999998</v>
      </c>
      <c r="G48" s="198"/>
      <c r="H48" s="198"/>
      <c r="I48" s="198"/>
      <c r="K48" s="103"/>
    </row>
    <row r="49" spans="1:11" s="51" customFormat="1" ht="11.25" x14ac:dyDescent="0.2">
      <c r="A49" s="134" t="str">
        <f>'MM CALC'!A46</f>
        <v>6.1.3</v>
      </c>
      <c r="B49" s="134" t="str">
        <f>'MM CALC'!B46</f>
        <v>SEINFRA</v>
      </c>
      <c r="C49" s="164" t="str">
        <f>'MM CALC'!C46</f>
        <v>ED-48298</v>
      </c>
      <c r="D49" s="182" t="str">
        <f>'MM CALC'!D46</f>
        <v>CORTE, DOBRA E MONTAGEM DE AÇO CA-50/60</v>
      </c>
      <c r="E49" s="181" t="str">
        <f>'MM CALC'!E46</f>
        <v>kg</v>
      </c>
      <c r="F49" s="163">
        <f>'MM CALC'!F46</f>
        <v>99.816600000000022</v>
      </c>
      <c r="G49" s="198"/>
      <c r="H49" s="198"/>
      <c r="I49" s="198"/>
      <c r="K49" s="103"/>
    </row>
    <row r="50" spans="1:11" s="56" customFormat="1" ht="11.25" x14ac:dyDescent="0.2">
      <c r="A50" s="135" t="str">
        <f>'MM CALC'!A47</f>
        <v>6.2</v>
      </c>
      <c r="B50" s="135"/>
      <c r="C50" s="156"/>
      <c r="D50" s="212" t="str">
        <f>'MM CALC'!D47</f>
        <v>FUNDAÇÃO - VIGAS BALDRAME</v>
      </c>
      <c r="E50" s="161"/>
      <c r="F50" s="208"/>
      <c r="G50" s="138"/>
      <c r="H50" s="141"/>
      <c r="I50" s="200"/>
      <c r="K50" s="102"/>
    </row>
    <row r="51" spans="1:11" s="51" customFormat="1" ht="33.75" x14ac:dyDescent="0.2">
      <c r="A51" s="134" t="str">
        <f>'MM CALC'!A48</f>
        <v>6.2.1</v>
      </c>
      <c r="B51" s="134" t="str">
        <f>'MM CALC'!B48</f>
        <v>SEINFRA</v>
      </c>
      <c r="C51" s="164" t="str">
        <f>'MM CALC'!C48</f>
        <v>ED-49787</v>
      </c>
      <c r="D51" s="182" t="str">
        <f>'MM CALC'!D48</f>
        <v>FORNECIMENTO DE CONCRETO ESTRUTURAL, PREPARADO EM OBRA COM BETONEIRA, COM FCK 25MPA ,INCLUSIVE LANÇAMENTO, ADENSAMENTO E ACABAMENTO (FUNDAÇÃO)</v>
      </c>
      <c r="E51" s="181" t="str">
        <f>'MM CALC'!E48</f>
        <v>m³</v>
      </c>
      <c r="F51" s="163">
        <f>'MM CALC'!F48</f>
        <v>5.0246999999999993</v>
      </c>
      <c r="G51" s="198"/>
      <c r="H51" s="198"/>
      <c r="I51" s="198"/>
      <c r="K51" s="103"/>
    </row>
    <row r="52" spans="1:11" s="51" customFormat="1" ht="22.5" x14ac:dyDescent="0.2">
      <c r="A52" s="134" t="str">
        <f>'MM CALC'!A49</f>
        <v>6.2.2</v>
      </c>
      <c r="B52" s="134" t="str">
        <f>'MM CALC'!B49</f>
        <v>SEINFRA</v>
      </c>
      <c r="C52" s="164" t="str">
        <f>'MM CALC'!C49</f>
        <v>ED-49810</v>
      </c>
      <c r="D52" s="182" t="str">
        <f>'MM CALC'!D49</f>
        <v>FORMA E DESFORMA DE TÁBUA E SARRAFO, REAPROVEITAMENTO (3X) (FUNDAÇÃO)</v>
      </c>
      <c r="E52" s="181" t="str">
        <f>'MM CALC'!E49</f>
        <v>m²</v>
      </c>
      <c r="F52" s="163">
        <f>'MM CALC'!F49</f>
        <v>22.331999999999997</v>
      </c>
      <c r="G52" s="198"/>
      <c r="H52" s="198"/>
      <c r="I52" s="198"/>
      <c r="K52" s="103"/>
    </row>
    <row r="53" spans="1:11" s="51" customFormat="1" ht="11.25" x14ac:dyDescent="0.2">
      <c r="A53" s="134" t="str">
        <f>'MM CALC'!A50</f>
        <v>6.2.3</v>
      </c>
      <c r="B53" s="134" t="str">
        <f>'MM CALC'!B50</f>
        <v>SEINFRA</v>
      </c>
      <c r="C53" s="164" t="str">
        <f>'MM CALC'!C50</f>
        <v>ED-48298</v>
      </c>
      <c r="D53" s="182" t="str">
        <f>'MM CALC'!D50</f>
        <v>CORTE, DOBRA E MONTAGEM DE AÇO CA-50/60</v>
      </c>
      <c r="E53" s="181" t="str">
        <f>'MM CALC'!E50</f>
        <v>kg</v>
      </c>
      <c r="F53" s="163">
        <f>'MM CALC'!F50</f>
        <v>78.111199999999997</v>
      </c>
      <c r="G53" s="198"/>
      <c r="H53" s="198"/>
      <c r="I53" s="198"/>
      <c r="K53" s="103"/>
    </row>
    <row r="54" spans="1:11" s="56" customFormat="1" ht="11.25" x14ac:dyDescent="0.2">
      <c r="A54" s="135" t="str">
        <f>'MM CALC'!A51</f>
        <v>6.3</v>
      </c>
      <c r="B54" s="135"/>
      <c r="C54" s="156"/>
      <c r="D54" s="212" t="str">
        <f>'MM CALC'!D51</f>
        <v>SUPERESTRUTURA - PILARES E VIGAS</v>
      </c>
      <c r="E54" s="161"/>
      <c r="F54" s="208"/>
      <c r="G54" s="141"/>
      <c r="H54" s="141"/>
      <c r="I54" s="200"/>
      <c r="K54" s="102"/>
    </row>
    <row r="55" spans="1:11" s="51" customFormat="1" ht="22.5" x14ac:dyDescent="0.2">
      <c r="A55" s="134" t="str">
        <f>'MM CALC'!A52</f>
        <v>6.3.1</v>
      </c>
      <c r="B55" s="134" t="str">
        <f>'MM CALC'!B52</f>
        <v>SEINFRA</v>
      </c>
      <c r="C55" s="164" t="str">
        <f>'MM CALC'!C52</f>
        <v>ED-49644</v>
      </c>
      <c r="D55" s="182" t="str">
        <f>'MM CALC'!D52</f>
        <v>FORMA E DESFORMA DE COMPENSADO RESINADO, ESP. 10MM, REAPROVEITAMENTO (3X), EXCLUSIVE ESCORAMENTO</v>
      </c>
      <c r="E55" s="181" t="str">
        <f>'MM CALC'!E52</f>
        <v>m²</v>
      </c>
      <c r="F55" s="163">
        <f>'MM CALC'!F52</f>
        <v>66.239999999999995</v>
      </c>
      <c r="G55" s="198"/>
      <c r="H55" s="198"/>
      <c r="I55" s="198"/>
      <c r="K55" s="103"/>
    </row>
    <row r="56" spans="1:11" s="51" customFormat="1" ht="33.75" x14ac:dyDescent="0.2">
      <c r="A56" s="134" t="str">
        <f>'MM CALC'!A53</f>
        <v>6.3.2</v>
      </c>
      <c r="B56" s="134" t="str">
        <f>'MM CALC'!B53</f>
        <v>SEINFRA</v>
      </c>
      <c r="C56" s="164" t="str">
        <f>'MM CALC'!C53</f>
        <v>ED-49619</v>
      </c>
      <c r="D56" s="182" t="str">
        <f>'MM CALC'!D53</f>
        <v>FORNECIMENTO DE CONCRETO ESTRUTURAL, PREPARADO EM OBRA, COM FCK 25MPA, INCLUSIVE LANÇAMENTO, ADENSAMENTO E ACABAMENTO</v>
      </c>
      <c r="E56" s="181" t="str">
        <f>'MM CALC'!E53</f>
        <v>m³</v>
      </c>
      <c r="F56" s="163">
        <f>'MM CALC'!F53</f>
        <v>8.4484000000000012</v>
      </c>
      <c r="G56" s="198"/>
      <c r="H56" s="198"/>
      <c r="I56" s="198"/>
      <c r="K56" s="103"/>
    </row>
    <row r="57" spans="1:11" s="51" customFormat="1" ht="11.25" x14ac:dyDescent="0.2">
      <c r="A57" s="134" t="str">
        <f>'MM CALC'!A54</f>
        <v>6.3.3</v>
      </c>
      <c r="B57" s="134" t="str">
        <f>'MM CALC'!B54</f>
        <v>SEINFRA</v>
      </c>
      <c r="C57" s="164" t="str">
        <f>'MM CALC'!C54</f>
        <v>ED-48298</v>
      </c>
      <c r="D57" s="182" t="str">
        <f>'MM CALC'!D54</f>
        <v>CORTE, DOBRA E MONTAGEM DE AÇO CA-50/60</v>
      </c>
      <c r="E57" s="181" t="str">
        <f>'MM CALC'!E54</f>
        <v>kg</v>
      </c>
      <c r="F57" s="163">
        <f>'MM CALC'!F54</f>
        <v>582.93960000000004</v>
      </c>
      <c r="G57" s="198"/>
      <c r="H57" s="198"/>
      <c r="I57" s="198"/>
      <c r="K57" s="103"/>
    </row>
    <row r="58" spans="1:11" s="56" customFormat="1" ht="22.5" x14ac:dyDescent="0.2">
      <c r="A58" s="135">
        <f>'MM CALC'!A55</f>
        <v>7</v>
      </c>
      <c r="B58" s="135"/>
      <c r="C58" s="156"/>
      <c r="D58" s="212" t="str">
        <f>'MM CALC'!D55</f>
        <v>VEDAÇÕES, PISOS, COBERTURAS, ESQUADRIAS, ACABAMENTOS E ACESSÓRIOS</v>
      </c>
      <c r="E58" s="161"/>
      <c r="F58" s="208"/>
      <c r="G58" s="209"/>
      <c r="H58" s="210"/>
      <c r="I58" s="211"/>
      <c r="K58" s="102"/>
    </row>
    <row r="59" spans="1:11" s="191" customFormat="1" ht="11.25" x14ac:dyDescent="0.2">
      <c r="A59" s="135" t="str">
        <f>'MM CALC'!A56</f>
        <v>7.1</v>
      </c>
      <c r="B59" s="135"/>
      <c r="C59" s="156"/>
      <c r="D59" s="212" t="str">
        <f>'MM CALC'!D56</f>
        <v>ALVENARIAS/REVESTIMENTOS</v>
      </c>
      <c r="E59" s="161"/>
      <c r="F59" s="208"/>
      <c r="G59" s="210"/>
      <c r="H59" s="210"/>
      <c r="I59" s="189"/>
      <c r="K59" s="192"/>
    </row>
    <row r="60" spans="1:11" s="51" customFormat="1" ht="33.75" x14ac:dyDescent="0.2">
      <c r="A60" s="134" t="str">
        <f>'MM CALC'!A57</f>
        <v>7.1.1</v>
      </c>
      <c r="B60" s="134" t="str">
        <f>'MM CALC'!B57</f>
        <v>SEINFRA</v>
      </c>
      <c r="C60" s="164" t="str">
        <f>'MM CALC'!C57</f>
        <v>ED-48231</v>
      </c>
      <c r="D60" s="182" t="str">
        <f>'MM CALC'!D57</f>
        <v>ALVENARIA DE VEDAÇÃO COM TIJOLO CERÂMICO FURADO, ESP. 9CM, PARA REVESTIMENTO, INCLUSIVE ARGAMASSA PARA ASSENTAMENTO</v>
      </c>
      <c r="E60" s="181" t="str">
        <f>'MM CALC'!E57</f>
        <v>m²</v>
      </c>
      <c r="F60" s="163">
        <f>'MM CALC'!F57</f>
        <v>629.35900000000004</v>
      </c>
      <c r="G60" s="198"/>
      <c r="H60" s="198"/>
      <c r="I60" s="198"/>
      <c r="K60" s="103"/>
    </row>
    <row r="61" spans="1:11" s="51" customFormat="1" ht="33.75" x14ac:dyDescent="0.2">
      <c r="A61" s="134" t="str">
        <f>'MM CALC'!A58</f>
        <v>7.1.2</v>
      </c>
      <c r="B61" s="134" t="str">
        <f>'MM CALC'!B58</f>
        <v>SEINFRA</v>
      </c>
      <c r="C61" s="164" t="str">
        <f>'MM CALC'!C58</f>
        <v>ED-50727</v>
      </c>
      <c r="D61" s="182" t="str">
        <f>'MM CALC'!D58</f>
        <v>CHAPISCO COM ARGAMASSA, TRAÇO 1:3 (CIMENTO E AREIA), ESP. 5MM, APLICADO EM ALVENARIA/ESTRUTURA DE CONCRETO COM COLHER, PREPARO MECÂNICO</v>
      </c>
      <c r="E61" s="181" t="str">
        <f>'MM CALC'!E58</f>
        <v>m²</v>
      </c>
      <c r="F61" s="163">
        <f>'MM CALC'!F58</f>
        <v>1258.7180000000001</v>
      </c>
      <c r="G61" s="198"/>
      <c r="H61" s="198"/>
      <c r="I61" s="198"/>
      <c r="K61" s="103"/>
    </row>
    <row r="62" spans="1:11" s="51" customFormat="1" ht="33.75" x14ac:dyDescent="0.2">
      <c r="A62" s="134" t="str">
        <f>'MM CALC'!A59</f>
        <v>7.1.3</v>
      </c>
      <c r="B62" s="134" t="str">
        <f>'MM CALC'!B59</f>
        <v>SEINFRA</v>
      </c>
      <c r="C62" s="164" t="str">
        <f>'MM CALC'!C59</f>
        <v>ED-50762</v>
      </c>
      <c r="D62" s="182" t="str">
        <f>'MM CALC'!D59</f>
        <v>REVESTIMENTO COM ARGAMASSA EM CAMADA ÚNICA, APLICADO EM PAREDE, TRAÇO 1:3 (CIMENTO E AREIA), ESP. 20MM, APLICAÇÃO MANUAL, PREPARO MECÂNICO</v>
      </c>
      <c r="E62" s="181" t="str">
        <f>'MM CALC'!E59</f>
        <v>m²</v>
      </c>
      <c r="F62" s="163">
        <f>'MM CALC'!F59</f>
        <v>1258.7180000000001</v>
      </c>
      <c r="G62" s="198"/>
      <c r="H62" s="198"/>
      <c r="I62" s="198"/>
      <c r="K62" s="103"/>
    </row>
    <row r="63" spans="1:11" s="51" customFormat="1" ht="33.75" x14ac:dyDescent="0.2">
      <c r="A63" s="134" t="str">
        <f>'MM CALC'!A60</f>
        <v>7.1.4</v>
      </c>
      <c r="B63" s="134" t="str">
        <f>'MM CALC'!B60</f>
        <v>SEINFRA</v>
      </c>
      <c r="C63" s="164" t="str">
        <f>'MM CALC'!C60</f>
        <v xml:space="preserve">ED-50408 </v>
      </c>
      <c r="D63" s="182" t="str">
        <f>'MM CALC'!D60</f>
        <v>MURO DIVISÓRIO TIJOLO FURADO E = 10 CM, REBOCADO E
PINTADO A LATEX H = 2,20 A 2,50 M, INCLUSIVE SAPATA DE
CONCRETO ARMADO FCK = 15 MPA, 50 x 55 CM</v>
      </c>
      <c r="E63" s="181" t="str">
        <f>'MM CALC'!E59</f>
        <v>m²</v>
      </c>
      <c r="F63" s="163">
        <f>'MM CALC'!F60</f>
        <v>93.38</v>
      </c>
      <c r="G63" s="198"/>
      <c r="H63" s="198"/>
      <c r="I63" s="198"/>
      <c r="K63" s="103"/>
    </row>
    <row r="64" spans="1:11" s="56" customFormat="1" ht="11.25" x14ac:dyDescent="0.2">
      <c r="A64" s="135" t="str">
        <f>'MM CALC'!A61</f>
        <v>7.2</v>
      </c>
      <c r="B64" s="135"/>
      <c r="C64" s="156"/>
      <c r="D64" s="212" t="str">
        <f>'MM CALC'!D61</f>
        <v>PISOS</v>
      </c>
      <c r="E64" s="161"/>
      <c r="F64" s="208"/>
      <c r="G64" s="209"/>
      <c r="H64" s="209"/>
      <c r="I64" s="189"/>
      <c r="K64" s="102"/>
    </row>
    <row r="65" spans="1:11" s="56" customFormat="1" ht="30.75" customHeight="1" x14ac:dyDescent="0.2">
      <c r="A65" s="134" t="str">
        <f>'MM CALC'!A62</f>
        <v>7.2.1</v>
      </c>
      <c r="B65" s="134" t="str">
        <f>'MM CALC'!B62</f>
        <v>SEINFRA</v>
      </c>
      <c r="C65" s="164" t="str">
        <f>'MM CALC'!C62</f>
        <v>ED-49787</v>
      </c>
      <c r="D65" s="182" t="str">
        <f>'MM CALC'!D62</f>
        <v>FORNECIMENTO DE CONCRETO ESTRUTURAL, PREPARADO EM OBRA COM BETONEIRA, COM FCK 25MPA, INCLUSIVE LANÇAMENTO, ADENSAMENTO E ACABAMENTO (FUNDAÇÃO)</v>
      </c>
      <c r="E65" s="181" t="str">
        <f>'MM CALC'!E62</f>
        <v>m³</v>
      </c>
      <c r="F65" s="163">
        <f>'MM CALC'!F62</f>
        <v>25.273800000000005</v>
      </c>
      <c r="G65" s="198"/>
      <c r="H65" s="198"/>
      <c r="I65" s="198"/>
      <c r="K65" s="102"/>
    </row>
    <row r="66" spans="1:11" s="56" customFormat="1" ht="30.75" customHeight="1" x14ac:dyDescent="0.2">
      <c r="A66" s="134" t="str">
        <f>'MM CALC'!A63</f>
        <v>7.2.2</v>
      </c>
      <c r="B66" s="134" t="str">
        <f>'MM CALC'!B63</f>
        <v>SEINFRA</v>
      </c>
      <c r="C66" s="164" t="str">
        <f>'MM CALC'!C63</f>
        <v>ED-50616</v>
      </c>
      <c r="D66" s="182" t="str">
        <f>'MM CALC'!D63</f>
        <v>PISO EM GRANILITE/MARMORITE, ESP. 8MM, ACABAMENTO LAVADO TIPO FULGET, COR NATURAL, MODULAÇÃO DE 1X1M, INCLUSO JUNTA PLÁSTICA</v>
      </c>
      <c r="E66" s="181" t="str">
        <f>'MM CALC'!E63</f>
        <v>m²</v>
      </c>
      <c r="F66" s="163">
        <f>'MM CALC'!F63</f>
        <v>223.97999999999996</v>
      </c>
      <c r="G66" s="198"/>
      <c r="H66" s="198"/>
      <c r="I66" s="198"/>
      <c r="K66" s="102"/>
    </row>
    <row r="67" spans="1:11" s="51" customFormat="1" ht="33.75" x14ac:dyDescent="0.2">
      <c r="A67" s="134" t="str">
        <f>'MM CALC'!A64</f>
        <v>7.2.3</v>
      </c>
      <c r="B67" s="134" t="str">
        <f>'MM CALC'!B64</f>
        <v>SEINFRA</v>
      </c>
      <c r="C67" s="164" t="str">
        <f>'MM CALC'!C64</f>
        <v>ED-50771</v>
      </c>
      <c r="D67" s="247" t="str">
        <f>'MM CALC'!D64</f>
        <v>RODAPÉ COM REVESTIMENTO EM CERÂMICA ESMALTADA COMERCIAL, ALTURA 10CM, PE IV, ASSENTAMENTO COM ARGAMASSA INDUSTRIALIZADA, INCLUSIVE REJUNTAMENTO</v>
      </c>
      <c r="E67" s="181" t="str">
        <f>'MM CALC'!E64</f>
        <v>m</v>
      </c>
      <c r="F67" s="163">
        <f>'MM CALC'!F64</f>
        <v>215.57999999999998</v>
      </c>
      <c r="G67" s="198"/>
      <c r="H67" s="198"/>
      <c r="I67" s="198"/>
      <c r="K67" s="103"/>
    </row>
    <row r="68" spans="1:11" s="51" customFormat="1" ht="56.25" x14ac:dyDescent="0.2">
      <c r="A68" s="134" t="str">
        <f>'MM CALC'!A65</f>
        <v>7.2.4</v>
      </c>
      <c r="B68" s="134" t="str">
        <f>'MM CALC'!B65</f>
        <v>SEINFRA</v>
      </c>
      <c r="C68" s="164" t="str">
        <f>'MM CALC'!C65</f>
        <v>ED-9081</v>
      </c>
      <c r="D68" s="247" t="str">
        <f>'MM CALC'!D65</f>
        <v>REVESTIMENTO COM CERÂMICA APLICADO EM PAREDE, ACABAMENTO ESMALTADO, AMBIENTE INTERNO/EXTERNO, PADRÃO EXTRA, DIMENSÃO DA PEÇA ATÉ 2025 CM2, PEIIII, ASSENTAMENTO COM ARGAMASSA INDUSTRIALIZADA, INCLUSIVE REJUNTAMENTO</v>
      </c>
      <c r="E68" s="181" t="str">
        <f>'MM CALC'!E65</f>
        <v>m²</v>
      </c>
      <c r="F68" s="163">
        <f>'MM CALC'!F65</f>
        <v>218.76</v>
      </c>
      <c r="G68" s="198"/>
      <c r="H68" s="198"/>
      <c r="I68" s="198"/>
      <c r="K68" s="103"/>
    </row>
    <row r="69" spans="1:11" s="51" customFormat="1" ht="56.25" x14ac:dyDescent="0.2">
      <c r="A69" s="134" t="str">
        <f>'MM CALC'!A66</f>
        <v>7.2.5</v>
      </c>
      <c r="B69" s="134" t="str">
        <f>'MM CALC'!B66</f>
        <v>SEINFRA</v>
      </c>
      <c r="C69" s="164" t="str">
        <f>'MM CALC'!C66</f>
        <v>ED-50542</v>
      </c>
      <c r="D69" s="247" t="str">
        <f>'MM CALC'!D66</f>
        <v>REVESTIMENTO COM CERÂMICA APLICADO EM PISO, ACABAMENTO ESMALTADO, AMBIENTE INTERNO, PADRÃO EXTRA, DIMENSÃO DA PEÇA ATÉ 2025 CM2, PEI V, ASSENTAMENTO COM ARGAMASSA INDUSTRIALIZADA, INCLUSIVE REJUNTAMENTO</v>
      </c>
      <c r="E69" s="181" t="str">
        <f>'MM CALC'!E66</f>
        <v>m²</v>
      </c>
      <c r="F69" s="163">
        <f>'MM CALC'!F66</f>
        <v>90.249999999999972</v>
      </c>
      <c r="G69" s="198"/>
      <c r="H69" s="198"/>
      <c r="I69" s="198"/>
      <c r="K69" s="103"/>
    </row>
    <row r="70" spans="1:11" s="56" customFormat="1" ht="11.25" x14ac:dyDescent="0.2">
      <c r="A70" s="135" t="str">
        <f>'MM CALC'!A67</f>
        <v>7.3</v>
      </c>
      <c r="B70" s="135"/>
      <c r="C70" s="156"/>
      <c r="D70" s="212" t="str">
        <f>'MM CALC'!D67</f>
        <v>PINTURA</v>
      </c>
      <c r="E70" s="161"/>
      <c r="F70" s="208"/>
      <c r="G70" s="138"/>
      <c r="H70" s="138"/>
      <c r="I70" s="200"/>
      <c r="K70" s="102"/>
    </row>
    <row r="71" spans="1:11" s="51" customFormat="1" ht="33.75" x14ac:dyDescent="0.2">
      <c r="A71" s="134" t="str">
        <f>'MM CALC'!A68</f>
        <v>7.3.1</v>
      </c>
      <c r="B71" s="134" t="str">
        <f>'MM CALC'!B68</f>
        <v>SEINFRA</v>
      </c>
      <c r="C71" s="164" t="str">
        <f>'MM CALC'!C68</f>
        <v>ED-50514</v>
      </c>
      <c r="D71" s="182" t="str">
        <f>'MM CALC'!D68</f>
        <v>PREPARAÇÃO PARA EMASSAMENTO OU PINTURA (LÁTEX/ACRÍLICA) EM PAREDE, INCLUSIVE UMA (1) DEMÃO DE SELADOR ACRÍLICO</v>
      </c>
      <c r="E71" s="181" t="str">
        <f>'MM CALC'!E68</f>
        <v>m²</v>
      </c>
      <c r="F71" s="163">
        <f>'MM CALC'!F68</f>
        <v>882.99800000000005</v>
      </c>
      <c r="G71" s="198"/>
      <c r="H71" s="198"/>
      <c r="I71" s="198"/>
      <c r="K71" s="103"/>
    </row>
    <row r="72" spans="1:11" s="51" customFormat="1" ht="22.5" x14ac:dyDescent="0.2">
      <c r="A72" s="134" t="str">
        <f>'MM CALC'!A69</f>
        <v>7.3.2</v>
      </c>
      <c r="B72" s="134" t="str">
        <f>'MM CALC'!B69</f>
        <v>SEINFRA</v>
      </c>
      <c r="C72" s="164" t="str">
        <f>'MM CALC'!C69</f>
        <v>ED-50474</v>
      </c>
      <c r="D72" s="182" t="str">
        <f>'MM CALC'!D69</f>
        <v>EMASSAMENTO EM PAREDE COM MASSA ACRÍLICA, DUAS (2) DEMÃOS, INCLUSIVE LIXAMENTO PARA PINTURA</v>
      </c>
      <c r="E72" s="181" t="str">
        <f>'MM CALC'!E69</f>
        <v>m²</v>
      </c>
      <c r="F72" s="163">
        <f>'MM CALC'!F69</f>
        <v>882.99800000000005</v>
      </c>
      <c r="G72" s="198"/>
      <c r="H72" s="198"/>
      <c r="I72" s="198"/>
      <c r="K72" s="103"/>
    </row>
    <row r="73" spans="1:11" s="51" customFormat="1" ht="22.5" x14ac:dyDescent="0.2">
      <c r="A73" s="134" t="str">
        <f>'MM CALC'!A70</f>
        <v>7.3.3</v>
      </c>
      <c r="B73" s="134" t="str">
        <f>'MM CALC'!B70</f>
        <v>SEINFRA</v>
      </c>
      <c r="C73" s="164" t="str">
        <f>'MM CALC'!C70</f>
        <v>ED-50451</v>
      </c>
      <c r="D73" s="182" t="str">
        <f>'MM CALC'!D70</f>
        <v>PINTURA ACRÍLICA EM PAREDE, DUAS (2) DEMÃOS, EXCLUSIVE SELADOR ACRÍLICO E MASSA ACRÍLICA/CORRIDA (PVA)</v>
      </c>
      <c r="E73" s="181" t="str">
        <f>'MM CALC'!E70</f>
        <v>m²</v>
      </c>
      <c r="F73" s="163">
        <f>'MM CALC'!F70</f>
        <v>882.99800000000005</v>
      </c>
      <c r="G73" s="198"/>
      <c r="H73" s="198"/>
      <c r="I73" s="198"/>
      <c r="K73" s="103"/>
    </row>
    <row r="74" spans="1:11" s="51" customFormat="1" ht="22.5" x14ac:dyDescent="0.2">
      <c r="A74" s="134" t="str">
        <f>'MM CALC'!A71</f>
        <v>7.3.4</v>
      </c>
      <c r="B74" s="134" t="str">
        <f>'MM CALC'!B71</f>
        <v>SEINFRA</v>
      </c>
      <c r="C74" s="164" t="str">
        <f>'MM CALC'!C71</f>
        <v>ED-50486</v>
      </c>
      <c r="D74" s="182" t="str">
        <f>'MM CALC'!D71</f>
        <v>EMASSAMENTO EM FORRO DE GESSO COM MASSA CORRIDA ( PVA), UMA (1) DEMÃO, INCLUSIVE LIXAMENTO PARA PINTURA</v>
      </c>
      <c r="E74" s="181" t="str">
        <f>'MM CALC'!E71</f>
        <v>m²</v>
      </c>
      <c r="F74" s="163">
        <f>'MM CALC'!F71</f>
        <v>162.38</v>
      </c>
      <c r="G74" s="198"/>
      <c r="H74" s="198"/>
      <c r="I74" s="198"/>
      <c r="K74" s="103"/>
    </row>
    <row r="75" spans="1:11" s="51" customFormat="1" ht="22.5" x14ac:dyDescent="0.2">
      <c r="A75" s="134" t="str">
        <f>'MM CALC'!A72</f>
        <v>7.3.5</v>
      </c>
      <c r="B75" s="134" t="str">
        <f>'MM CALC'!B72</f>
        <v>SEINFRA</v>
      </c>
      <c r="C75" s="164" t="str">
        <f>'MM CALC'!C72</f>
        <v>ED-50452</v>
      </c>
      <c r="D75" s="182" t="str">
        <f>'MM CALC'!D72</f>
        <v>PINTURA ACRÍLICA EM TETO, DUAS (2) DEMÃOS, EXCLUSIVE SELADOR ACRÍLICO E MASSA ACRÍLICA/CORRIDA (PVA)</v>
      </c>
      <c r="E75" s="181" t="str">
        <f>'MM CALC'!E72</f>
        <v>m²</v>
      </c>
      <c r="F75" s="163">
        <f>'MM CALC'!F72</f>
        <v>162.38</v>
      </c>
      <c r="G75" s="198"/>
      <c r="H75" s="198"/>
      <c r="I75" s="198"/>
      <c r="K75" s="103"/>
    </row>
    <row r="76" spans="1:11" s="56" customFormat="1" ht="11.25" x14ac:dyDescent="0.2">
      <c r="A76" s="135" t="str">
        <f>'MM CALC'!A73</f>
        <v>7.4</v>
      </c>
      <c r="B76" s="135"/>
      <c r="C76" s="156"/>
      <c r="D76" s="212" t="str">
        <f>'MM CALC'!D73</f>
        <v>COBERTURA</v>
      </c>
      <c r="E76" s="213"/>
      <c r="F76" s="214"/>
      <c r="G76" s="138"/>
      <c r="H76" s="140"/>
      <c r="I76" s="200"/>
      <c r="K76" s="102"/>
    </row>
    <row r="77" spans="1:11" s="56" customFormat="1" ht="56.25" x14ac:dyDescent="0.2">
      <c r="A77" s="134" t="str">
        <f>'MM CALC'!A74</f>
        <v>7.4.1</v>
      </c>
      <c r="B77" s="134" t="str">
        <f>'MM CALC'!B74</f>
        <v>SEINFRA</v>
      </c>
      <c r="C77" s="164" t="str">
        <f>'MM CALC'!C74</f>
        <v>ED-20603</v>
      </c>
      <c r="D77" s="182" t="str">
        <f>'MM CALC'!D74</f>
        <v>FORNECIMENTO DE ESTRUTURA METÁLICA E ENGRADAMENTO METÁLICO, EM AÇO, PARA TELHADO, EXCLUSIVE TELHA, INCLUSIVE FABRICAÇÃO, TRANSPORTE, MONTAGEM E APLICAÇÃO DE FUNDO PREPARADOR ANTICORROSIVO EM SUPERFÍCIE METÁLICA, UMA (1) DEMÃO</v>
      </c>
      <c r="E77" s="181" t="str">
        <f>'MM CALC'!E74</f>
        <v>kg</v>
      </c>
      <c r="F77" s="163">
        <f>'MM CALC'!F74</f>
        <v>912.22372800000005</v>
      </c>
      <c r="G77" s="199"/>
      <c r="H77" s="198"/>
      <c r="I77" s="198"/>
      <c r="K77" s="102"/>
    </row>
    <row r="78" spans="1:11" s="51" customFormat="1" ht="45" x14ac:dyDescent="0.2">
      <c r="A78" s="134" t="str">
        <f>'MM CALC'!A75</f>
        <v>7.4.2</v>
      </c>
      <c r="B78" s="134" t="str">
        <f>'MM CALC'!B75</f>
        <v>SEINFRA</v>
      </c>
      <c r="C78" s="164" t="str">
        <f>'MM CALC'!C75</f>
        <v>ED-13852</v>
      </c>
      <c r="D78" s="182" t="str">
        <f>'MM CALC'!D75</f>
        <v xml:space="preserve">COBERTURA EM TELHA METÁLICA GALVANIZADA ONDULADA,
TIPO SIMPLES, ESP. 0,50MM, ACABAMENTO NATURAL, INCLUSIVE
ACESSÓRIOS PARA FIXAÇÃO, FORNECIMENTO E INSTALAÇÃO 
</v>
      </c>
      <c r="E78" s="181" t="str">
        <f>'MM CALC'!E75</f>
        <v>m²</v>
      </c>
      <c r="F78" s="163">
        <f>'MM CALC'!F75</f>
        <v>359.14320000000004</v>
      </c>
      <c r="G78" s="198"/>
      <c r="H78" s="198"/>
      <c r="I78" s="198"/>
      <c r="K78" s="103"/>
    </row>
    <row r="79" spans="1:11" s="51" customFormat="1" ht="45" x14ac:dyDescent="0.2">
      <c r="A79" s="134" t="str">
        <f>'MM CALC'!A76</f>
        <v>7.4.3</v>
      </c>
      <c r="B79" s="134" t="str">
        <f>'MM CALC'!B76</f>
        <v>SEINFRA</v>
      </c>
      <c r="C79" s="164" t="str">
        <f>'MM CALC'!C76</f>
        <v>ED-49686</v>
      </c>
      <c r="D79" s="182" t="str">
        <f>'MM CALC'!D76</f>
        <v>FORRO EM CHAPA DE GESSO ACARTONADA, ESP. 12,5MM, COM FIXAÇÃO DO TIPO ESTRUTURADA EM PERFIL METÁLICO, EXCLUSIVE PERFIL TABICA, SANCA E MOLDURA, INCLUSIVE ACESSÓRIOS E FIXAÇÃO</v>
      </c>
      <c r="E79" s="181" t="str">
        <f>'MM CALC'!E76</f>
        <v>m²</v>
      </c>
      <c r="F79" s="163">
        <f>'MM CALC'!F76</f>
        <v>162.38</v>
      </c>
      <c r="G79" s="198"/>
      <c r="H79" s="198"/>
      <c r="I79" s="198"/>
      <c r="K79" s="103"/>
    </row>
    <row r="80" spans="1:11" s="51" customFormat="1" ht="33.75" x14ac:dyDescent="0.2">
      <c r="A80" s="134" t="str">
        <f>'MM CALC'!A77</f>
        <v>7.4.4</v>
      </c>
      <c r="B80" s="134" t="str">
        <f>'MM CALC'!B77</f>
        <v>SEINFRA</v>
      </c>
      <c r="C80" s="164" t="str">
        <f>'MM CALC'!C77</f>
        <v>ED-28454</v>
      </c>
      <c r="D80" s="182" t="str">
        <f>'MM CALC'!D77</f>
        <v>PERFIL TABICA GALVANIZADO, TIPO LISA, COM ACABAMENTO EM PINTURA, NA COR BRANCA, PARA FORRO EM CHAPA DE GESSO ACARTONADO, INCLUSIVE ACESSÓRIOS DE FIXAÇÃO</v>
      </c>
      <c r="E80" s="181" t="str">
        <f>'MM CALC'!E77</f>
        <v>m</v>
      </c>
      <c r="F80" s="163">
        <f>'MM CALC'!F77</f>
        <v>269.29999999999995</v>
      </c>
      <c r="G80" s="198"/>
      <c r="H80" s="198"/>
      <c r="I80" s="198"/>
      <c r="K80" s="103"/>
    </row>
    <row r="81" spans="1:11" s="51" customFormat="1" ht="22.5" x14ac:dyDescent="0.2">
      <c r="A81" s="134" t="str">
        <f>'MM CALC'!A78</f>
        <v>7.4.5</v>
      </c>
      <c r="B81" s="134" t="str">
        <f>'MM CALC'!B78</f>
        <v>SEINFRA</v>
      </c>
      <c r="C81" s="164" t="str">
        <f>'MM CALC'!C78</f>
        <v>ED-50667</v>
      </c>
      <c r="D81" s="182" t="str">
        <f>'MM CALC'!D78</f>
        <v>CHAPIM METÁLICO, COM PINGADEIRA, CHAPA GALVANIZADA Nº24, DESENVOLVIMENTO = 35 CM</v>
      </c>
      <c r="E81" s="181" t="str">
        <f>'MM CALC'!E78</f>
        <v>m</v>
      </c>
      <c r="F81" s="163">
        <f>'MM CALC'!F78</f>
        <v>137.93</v>
      </c>
      <c r="G81" s="198"/>
      <c r="H81" s="198"/>
      <c r="I81" s="198"/>
      <c r="K81" s="103"/>
    </row>
    <row r="82" spans="1:11" s="51" customFormat="1" ht="22.5" x14ac:dyDescent="0.2">
      <c r="A82" s="134" t="str">
        <f>'MM CALC'!A79</f>
        <v>7.4.6</v>
      </c>
      <c r="B82" s="134" t="str">
        <f>'MM CALC'!B79</f>
        <v>SEINFRA</v>
      </c>
      <c r="C82" s="164" t="str">
        <f>'MM CALC'!C79</f>
        <v>ED-50678</v>
      </c>
      <c r="D82" s="182" t="str">
        <f>'MM CALC'!D79</f>
        <v>RUFO E CONTRA-RUFO DE CHAPA GALVANIZADA Nº.24, DESENVOLVIMENTO = 33 CM</v>
      </c>
      <c r="E82" s="181" t="str">
        <f>'MM CALC'!E79</f>
        <v>m</v>
      </c>
      <c r="F82" s="163">
        <f>'MM CALC'!F79</f>
        <v>64.650000000000006</v>
      </c>
      <c r="G82" s="198"/>
      <c r="H82" s="198"/>
      <c r="I82" s="198"/>
      <c r="K82" s="103"/>
    </row>
    <row r="83" spans="1:11" s="51" customFormat="1" ht="33.75" x14ac:dyDescent="0.2">
      <c r="A83" s="134" t="str">
        <f>'MM CALC'!A80</f>
        <v>7.4.7</v>
      </c>
      <c r="B83" s="134" t="str">
        <f>'MM CALC'!B80</f>
        <v>SEINFRA</v>
      </c>
      <c r="C83" s="164" t="str">
        <f>'MM CALC'!C80</f>
        <v>ED-50660</v>
      </c>
      <c r="D83" s="182" t="str">
        <f>'MM CALC'!D80</f>
        <v>CALHA EM CHAPA GALVANIZADA, ESP. 0,65MM (GSG-24), COM DESENVOLVIMENTO DE 100CM, INCLUSIVE IÇAMENTO MANUAL VERTICAL</v>
      </c>
      <c r="E83" s="181" t="str">
        <f>'MM CALC'!E80</f>
        <v>m</v>
      </c>
      <c r="F83" s="163">
        <f>'MM CALC'!F80</f>
        <v>43.540000000000006</v>
      </c>
      <c r="G83" s="198"/>
      <c r="H83" s="198"/>
      <c r="I83" s="198"/>
      <c r="K83" s="103"/>
    </row>
    <row r="84" spans="1:11" s="51" customFormat="1" ht="11.25" x14ac:dyDescent="0.2">
      <c r="A84" s="134" t="str">
        <f>'MM CALC'!A81</f>
        <v>7.4.8</v>
      </c>
      <c r="B84" s="134" t="str">
        <f>'MM CALC'!B81</f>
        <v>SEINFRA</v>
      </c>
      <c r="C84" s="164" t="str">
        <f>'MM CALC'!C81</f>
        <v>ED-49962</v>
      </c>
      <c r="D84" s="182" t="str">
        <f>'MM CALC'!D81</f>
        <v>RALO SEMI- HEMISFÉRICO TIPO ABACAXI D = 100 MM</v>
      </c>
      <c r="E84" s="181" t="str">
        <f>'MM CALC'!E81</f>
        <v>u</v>
      </c>
      <c r="F84" s="163">
        <f>'MM CALC'!F81</f>
        <v>10</v>
      </c>
      <c r="G84" s="198"/>
      <c r="H84" s="198"/>
      <c r="I84" s="198"/>
      <c r="K84" s="103"/>
    </row>
    <row r="85" spans="1:11" s="51" customFormat="1" ht="22.5" x14ac:dyDescent="0.2">
      <c r="A85" s="134" t="str">
        <f>'MM CALC'!A82</f>
        <v>7.4.9</v>
      </c>
      <c r="B85" s="134" t="str">
        <f>'MM CALC'!B82</f>
        <v>SEINFRA</v>
      </c>
      <c r="C85" s="164" t="str">
        <f>'MM CALC'!C82</f>
        <v>ED-50668</v>
      </c>
      <c r="D85" s="182" t="str">
        <f>'MM CALC'!D82</f>
        <v>CONDUTOR DE AP DO TELHADO EM TUBO PVC ESGOTO, INCLUSIVE CONEXÕES E SUPORTES, 100 MM</v>
      </c>
      <c r="E85" s="181" t="str">
        <f>'MM CALC'!E82</f>
        <v>m</v>
      </c>
      <c r="F85" s="163">
        <f>'MM CALC'!F82</f>
        <v>15</v>
      </c>
      <c r="G85" s="198"/>
      <c r="H85" s="198"/>
      <c r="I85" s="198"/>
      <c r="K85" s="103"/>
    </row>
    <row r="86" spans="1:11" s="191" customFormat="1" ht="11.25" x14ac:dyDescent="0.2">
      <c r="A86" s="135" t="str">
        <f>'MM CALC'!A83</f>
        <v>7.5</v>
      </c>
      <c r="B86" s="135"/>
      <c r="C86" s="156"/>
      <c r="D86" s="212" t="str">
        <f>'MM CALC'!D83</f>
        <v>SOLEIRAS</v>
      </c>
      <c r="E86" s="161"/>
      <c r="F86" s="208"/>
      <c r="G86" s="210"/>
      <c r="H86" s="210"/>
      <c r="I86" s="189"/>
      <c r="K86" s="192"/>
    </row>
    <row r="87" spans="1:11" s="51" customFormat="1" ht="22.5" x14ac:dyDescent="0.2">
      <c r="A87" s="134" t="str">
        <f>'MM CALC'!A84</f>
        <v>7.5.1</v>
      </c>
      <c r="B87" s="134" t="str">
        <f>'MM CALC'!B84</f>
        <v>SEINFRA</v>
      </c>
      <c r="C87" s="164" t="str">
        <f>'MM CALC'!C84</f>
        <v>ED-51002</v>
      </c>
      <c r="D87" s="182" t="str">
        <f>'MM CALC'!D84</f>
        <v>SOLEIRA EM GRANITO, NA COR CINZA ANDORINHA, ESP. 2CM, INCLUSIVE REJUNTAMENTO</v>
      </c>
      <c r="E87" s="181" t="str">
        <f>'MM CALC'!E84</f>
        <v>m²</v>
      </c>
      <c r="F87" s="163">
        <f>'MM CALC'!F84</f>
        <v>1.5310000000000001</v>
      </c>
      <c r="G87" s="198"/>
      <c r="H87" s="198"/>
      <c r="I87" s="198"/>
      <c r="K87" s="103"/>
    </row>
    <row r="88" spans="1:11" s="56" customFormat="1" ht="11.25" x14ac:dyDescent="0.2">
      <c r="A88" s="135" t="str">
        <f>'MM CALC'!A85</f>
        <v>7.6</v>
      </c>
      <c r="B88" s="135"/>
      <c r="C88" s="156"/>
      <c r="D88" s="212" t="str">
        <f>'MM CALC'!D85</f>
        <v>ESQUADRIAS E ACESSÓRIOS</v>
      </c>
      <c r="E88" s="161"/>
      <c r="F88" s="208"/>
      <c r="G88" s="138"/>
      <c r="H88" s="141"/>
      <c r="I88" s="200"/>
      <c r="K88" s="102"/>
    </row>
    <row r="89" spans="1:11" s="51" customFormat="1" ht="33.75" x14ac:dyDescent="0.2">
      <c r="A89" s="134" t="str">
        <f>'MM CALC'!A86</f>
        <v>7.6.1</v>
      </c>
      <c r="B89" s="134" t="str">
        <f>'MM CALC'!B86</f>
        <v>SEINFRA</v>
      </c>
      <c r="C89" s="164" t="str">
        <f>'MM CALC'!C86</f>
        <v>ED-50916</v>
      </c>
      <c r="D89" s="182" t="str">
        <f>'MM CALC'!D86</f>
        <v>PORTA METÁLICA 80 X 210 CM , INCLUINDO FECHADURA TIPO EXTERNA E FERRAGENS, CONFORME DETALHE PADRÃO ESCOLAR 4/98 VERSÃO 2005</v>
      </c>
      <c r="E89" s="181" t="str">
        <f>'MM CALC'!E86</f>
        <v>u</v>
      </c>
      <c r="F89" s="163">
        <f>'MM CALC'!F86</f>
        <v>34</v>
      </c>
      <c r="G89" s="198"/>
      <c r="H89" s="198"/>
      <c r="I89" s="198"/>
      <c r="K89" s="103"/>
    </row>
    <row r="90" spans="1:11" s="51" customFormat="1" ht="22.5" x14ac:dyDescent="0.2">
      <c r="A90" s="134" t="str">
        <f>'MM CALC'!A87</f>
        <v>7.6.2</v>
      </c>
      <c r="B90" s="134" t="str">
        <f>'MM CALC'!B87</f>
        <v>SEINFRA</v>
      </c>
      <c r="C90" s="164" t="str">
        <f>'MM CALC'!C87</f>
        <v>ED-50965</v>
      </c>
      <c r="D90" s="182" t="str">
        <f>'MM CALC'!D87</f>
        <v>FORNECIMENTO E ASSENTAMENTO DE MARCO EM CHAPA METÁLICA</v>
      </c>
      <c r="E90" s="181" t="str">
        <f>'MM CALC'!E87</f>
        <v>u</v>
      </c>
      <c r="F90" s="163">
        <f>'MM CALC'!F87</f>
        <v>34</v>
      </c>
      <c r="G90" s="198"/>
      <c r="H90" s="198"/>
      <c r="I90" s="198"/>
      <c r="K90" s="103"/>
    </row>
    <row r="91" spans="1:11" s="51" customFormat="1" ht="22.5" x14ac:dyDescent="0.2">
      <c r="A91" s="134" t="str">
        <f>'MM CALC'!A88</f>
        <v>7.6.3</v>
      </c>
      <c r="B91" s="134" t="str">
        <f>'MM CALC'!B88</f>
        <v>SEINFRA</v>
      </c>
      <c r="C91" s="164" t="str">
        <f>'MM CALC'!C88</f>
        <v>ED-50955</v>
      </c>
      <c r="D91" s="182" t="str">
        <f>'MM CALC'!D88</f>
        <v>FORNECIMENTO E ASSENTAMENTO DE JANELA DE CORRER EM FERRO</v>
      </c>
      <c r="E91" s="181" t="str">
        <f>'MM CALC'!E88</f>
        <v>m²</v>
      </c>
      <c r="F91" s="163">
        <f>'MM CALC'!F88</f>
        <v>7</v>
      </c>
      <c r="G91" s="198"/>
      <c r="H91" s="198"/>
      <c r="I91" s="198"/>
      <c r="K91" s="103"/>
    </row>
    <row r="92" spans="1:11" s="51" customFormat="1" ht="22.5" x14ac:dyDescent="0.2">
      <c r="A92" s="134" t="str">
        <f>'MM CALC'!A89</f>
        <v>7.6.4</v>
      </c>
      <c r="B92" s="134" t="str">
        <f>'MM CALC'!B89</f>
        <v>SEINFRA</v>
      </c>
      <c r="C92" s="164" t="str">
        <f>'MM CALC'!C89</f>
        <v>ED-50956</v>
      </c>
      <c r="D92" s="182" t="str">
        <f>'MM CALC'!D89</f>
        <v>FORNECIMENTO E ASSENTAMENTO DE JANELA EM FERRO, TIPO MAXIM-AR, INCLUSIVE FERRAGENS E ACESSÓRIOS</v>
      </c>
      <c r="E92" s="181" t="str">
        <f>'MM CALC'!E89</f>
        <v>m²</v>
      </c>
      <c r="F92" s="163">
        <f>'MM CALC'!F89</f>
        <v>1.4400000000000002</v>
      </c>
      <c r="G92" s="198"/>
      <c r="H92" s="198"/>
      <c r="I92" s="198"/>
      <c r="K92" s="103"/>
    </row>
    <row r="93" spans="1:11" s="51" customFormat="1" ht="45" x14ac:dyDescent="0.2">
      <c r="A93" s="134" t="str">
        <f>'MM CALC'!A90</f>
        <v>7.6.5</v>
      </c>
      <c r="B93" s="134" t="str">
        <f>'MM CALC'!B90</f>
        <v>SEINFRA</v>
      </c>
      <c r="C93" s="164" t="str">
        <f>'MM CALC'!C90</f>
        <v>ED-51156</v>
      </c>
      <c r="D93" s="182" t="str">
        <f>'MM CALC'!D90</f>
        <v>VIDRO COMUM TRANSPARENTE INCOLOR, ESP. 4MM, INCLUSIVE FIXAÇÃO E VEDAÇÃO COM GUARNIÇÃO/GAXETA DE BORRACHA NEOPRENE, FORNECIMENTO E INSTALAÇÃO, EXCLUSIVE CAIXILHO/PERFIL</v>
      </c>
      <c r="E93" s="181" t="str">
        <f>'MM CALC'!E90</f>
        <v>m²</v>
      </c>
      <c r="F93" s="163">
        <f>'MM CALC'!F90</f>
        <v>8.44</v>
      </c>
      <c r="G93" s="198"/>
      <c r="H93" s="198"/>
      <c r="I93" s="198"/>
      <c r="K93" s="103"/>
    </row>
    <row r="94" spans="1:11" s="51" customFormat="1" ht="22.5" x14ac:dyDescent="0.2">
      <c r="A94" s="134" t="str">
        <f>'MM CALC'!A91</f>
        <v>7.6.6</v>
      </c>
      <c r="B94" s="134" t="str">
        <f>'MM CALC'!B91</f>
        <v>SEINFRA</v>
      </c>
      <c r="C94" s="164" t="str">
        <f>'MM CALC'!C91</f>
        <v>ED-48343</v>
      </c>
      <c r="D94" s="182" t="str">
        <f>'MM CALC'!D91</f>
        <v>BANCADA EM GRANITO CINZA ANDORINHA E = 3 CM, APOIADA EM CONSOLE DE METALON 20 X 30 MM</v>
      </c>
      <c r="E94" s="181" t="str">
        <f>'MM CALC'!E91</f>
        <v>m²</v>
      </c>
      <c r="F94" s="163">
        <f>'MM CALC'!F91</f>
        <v>15.976599999999999</v>
      </c>
      <c r="G94" s="198"/>
      <c r="H94" s="198"/>
      <c r="I94" s="198"/>
      <c r="K94" s="103"/>
    </row>
    <row r="95" spans="1:11" s="51" customFormat="1" ht="22.5" x14ac:dyDescent="0.2">
      <c r="A95" s="134" t="str">
        <f>'MM CALC'!A92</f>
        <v>7.6.7</v>
      </c>
      <c r="B95" s="134" t="str">
        <f>'MM CALC'!B92</f>
        <v>SEINFRA</v>
      </c>
      <c r="C95" s="164" t="str">
        <f>'MM CALC'!C92</f>
        <v>ED-48533</v>
      </c>
      <c r="D95" s="182" t="str">
        <f>'MM CALC'!D92</f>
        <v>DIVISÓRIA EM GRANITO CINZA ANDORINHA E = 3 CM, INCLUSIVE FERRAGENS EM LATÃO CROMADO</v>
      </c>
      <c r="E95" s="181" t="str">
        <f>'MM CALC'!E92</f>
        <v>m²</v>
      </c>
      <c r="F95" s="163">
        <f>'MM CALC'!F92</f>
        <v>4</v>
      </c>
      <c r="G95" s="198"/>
      <c r="H95" s="198"/>
      <c r="I95" s="198"/>
      <c r="K95" s="103"/>
    </row>
    <row r="96" spans="1:11" s="51" customFormat="1" ht="11.25" x14ac:dyDescent="0.2">
      <c r="A96" s="134" t="str">
        <f>'MM CALC'!A93</f>
        <v>7.6.8</v>
      </c>
      <c r="B96" s="134" t="str">
        <f>'MM CALC'!B93</f>
        <v>SEINFRA</v>
      </c>
      <c r="C96" s="164" t="str">
        <f>'MM CALC'!C93</f>
        <v>ED-48182</v>
      </c>
      <c r="D96" s="182" t="str">
        <f>'MM CALC'!D93</f>
        <v>DISPENSER EM PLÁSTICO PARA PAPEL TOALHA 2 OU 3 FOLHAS</v>
      </c>
      <c r="E96" s="181" t="str">
        <f>'MM CALC'!E93</f>
        <v>u</v>
      </c>
      <c r="F96" s="163">
        <f>'MM CALC'!F93</f>
        <v>22</v>
      </c>
      <c r="G96" s="198"/>
      <c r="H96" s="198"/>
      <c r="I96" s="198"/>
      <c r="K96" s="103"/>
    </row>
    <row r="97" spans="1:11" s="51" customFormat="1" ht="22.5" x14ac:dyDescent="0.2">
      <c r="A97" s="134" t="str">
        <f>'MM CALC'!A94</f>
        <v>7.6.9</v>
      </c>
      <c r="B97" s="134" t="str">
        <f>'MM CALC'!B94</f>
        <v>SEINFRA</v>
      </c>
      <c r="C97" s="164" t="str">
        <f>'MM CALC'!C94</f>
        <v>ED-48183</v>
      </c>
      <c r="D97" s="182" t="str">
        <f>'MM CALC'!D94</f>
        <v>PAPELEIRA PLASTICA TIPO DISPENSER PARA PAPEL HIGIENICO ROLAO</v>
      </c>
      <c r="E97" s="181" t="str">
        <f>'MM CALC'!E94</f>
        <v>u</v>
      </c>
      <c r="F97" s="163">
        <f>'MM CALC'!F94</f>
        <v>8</v>
      </c>
      <c r="G97" s="198"/>
      <c r="H97" s="198"/>
      <c r="I97" s="198"/>
      <c r="K97" s="103"/>
    </row>
    <row r="98" spans="1:11" s="51" customFormat="1" ht="90" x14ac:dyDescent="0.2">
      <c r="A98" s="134" t="str">
        <f>'MM CALC'!A95</f>
        <v>7.6.10</v>
      </c>
      <c r="B98" s="134" t="str">
        <f>'MM CALC'!B95</f>
        <v>SEINFRA</v>
      </c>
      <c r="C98" s="164" t="str">
        <f>'MM CALC'!C95</f>
        <v>ED-50282</v>
      </c>
      <c r="D98" s="182" t="str">
        <f>'MM CALC'!D95</f>
        <v>LAVATÓRIO DE LOUÇA BRANCA COM COLUNA, TAMANHO MÉDIO,
INCLUSIVE ACESSÓRIOS DE FIXAÇÃO, VÁLVULA DE ESCOAMENTO
DE METAL COM ACABAMENTO CROMADO, SIFÃO DE METAL TIPO
COPO COM ACABAMENTO CROMADO, FORNECIMENTO,
INSTALAÇÃO E REJUNTAMENTO, EXCLUSIVE TORNEIRA E
ENGATE FLEXÍVEL</v>
      </c>
      <c r="E98" s="181" t="str">
        <f>'MM CALC'!E95</f>
        <v>u</v>
      </c>
      <c r="F98" s="163">
        <f>'MM CALC'!F95</f>
        <v>16</v>
      </c>
      <c r="G98" s="198"/>
      <c r="H98" s="198"/>
      <c r="I98" s="198"/>
      <c r="K98" s="103"/>
    </row>
    <row r="99" spans="1:11" s="51" customFormat="1" ht="22.5" x14ac:dyDescent="0.2">
      <c r="A99" s="134" t="str">
        <f>'MM CALC'!A96</f>
        <v>7.6.11</v>
      </c>
      <c r="B99" s="134" t="str">
        <f>'MM CALC'!B96</f>
        <v>SEINFRA</v>
      </c>
      <c r="C99" s="164" t="str">
        <f>'MM CALC'!C96</f>
        <v>ED-48189</v>
      </c>
      <c r="D99" s="182" t="str">
        <f>'MM CALC'!D96</f>
        <v>SABONETEIRA PLASTICA TIPO DISPENSER PARA SABONETE LIQUIDO COM RESERVATORIO 1500 ML</v>
      </c>
      <c r="E99" s="181" t="str">
        <f>'MM CALC'!E96</f>
        <v>u</v>
      </c>
      <c r="F99" s="163">
        <f>'MM CALC'!F96</f>
        <v>22</v>
      </c>
      <c r="G99" s="198"/>
      <c r="H99" s="198"/>
      <c r="I99" s="198"/>
      <c r="K99" s="103"/>
    </row>
    <row r="100" spans="1:11" s="51" customFormat="1" ht="56.25" x14ac:dyDescent="0.2">
      <c r="A100" s="134" t="str">
        <f>'MM CALC'!A97</f>
        <v>7.6.12</v>
      </c>
      <c r="B100" s="134" t="str">
        <f>'MM CALC'!B97</f>
        <v>SEINFRA</v>
      </c>
      <c r="C100" s="164" t="str">
        <f>'MM CALC'!C97</f>
        <v>ED-50287</v>
      </c>
      <c r="D100" s="182" t="str">
        <f>'MM CALC'!D97</f>
        <v>CUBA EM AÇO INOXIDÁVEL DE EMBUTIR, AISI 304, APLICAÇÃO PARA TANQUE (600X600X400MM), ASSENTAMENTO EM BANCADA, INCLUSIVE VÁLVULA DE ESCOAMENTO DE METAL COM ACABAMENTO CROMADO, SIFÃO DE METAL TIPO COPO COM ACABAMENTO CROMADO, FORNECIMENTO E INSTALAÇÃO</v>
      </c>
      <c r="E100" s="181" t="str">
        <f>'MM CALC'!E97</f>
        <v>u</v>
      </c>
      <c r="F100" s="163">
        <f>'MM CALC'!F97</f>
        <v>4</v>
      </c>
      <c r="G100" s="198"/>
      <c r="H100" s="198"/>
      <c r="I100" s="198"/>
      <c r="K100" s="103"/>
    </row>
    <row r="101" spans="1:11" s="52" customFormat="1" ht="33.75" x14ac:dyDescent="0.2">
      <c r="A101" s="134" t="str">
        <f>'MM CALC'!A98</f>
        <v>7.6.13</v>
      </c>
      <c r="B101" s="134" t="str">
        <f>'MM CALC'!B98</f>
        <v>SEINFRA</v>
      </c>
      <c r="C101" s="164" t="str">
        <f>'MM CALC'!C98</f>
        <v>ED-50330</v>
      </c>
      <c r="D101" s="182" t="str">
        <f>'MM CALC'!D98</f>
        <v>TORNEIRA METÁLICA PARA LAVATÓRIO, ACABAMENTO CROMADO, COM AREJADOR, APLICAÇÃO DE MESA, INCLUSIVE ENGATE FLEXÍVEL METÁLICO, FORNECIMENTO E INSTALAÇÃO</v>
      </c>
      <c r="E101" s="181" t="str">
        <f>'MM CALC'!E98</f>
        <v>u</v>
      </c>
      <c r="F101" s="163">
        <f>'MM CALC'!F98</f>
        <v>16</v>
      </c>
      <c r="G101" s="198"/>
      <c r="H101" s="198"/>
      <c r="I101" s="198"/>
      <c r="K101" s="105"/>
    </row>
    <row r="102" spans="1:11" s="51" customFormat="1" ht="33.75" x14ac:dyDescent="0.2">
      <c r="A102" s="134" t="str">
        <f>'MM CALC'!A99</f>
        <v>7.6.14</v>
      </c>
      <c r="B102" s="134" t="str">
        <f>'MM CALC'!B99</f>
        <v>SEINFRA</v>
      </c>
      <c r="C102" s="164" t="str">
        <f>'MM CALC'!C99</f>
        <v>ED-50326</v>
      </c>
      <c r="D102" s="182" t="str">
        <f>'MM CALC'!D99</f>
        <v>TORNEIRA METÁLICA PARA PIA, ACABAMENTO CROMADO, COM AREJADOR, APLICAÇÃO DE PAREDE, INCLUSIVE FORNECIMENTO E INSTALAÇÃO</v>
      </c>
      <c r="E102" s="181" t="str">
        <f>'MM CALC'!E99</f>
        <v>u</v>
      </c>
      <c r="F102" s="163">
        <f>'MM CALC'!F99</f>
        <v>4</v>
      </c>
      <c r="G102" s="198"/>
      <c r="H102" s="198"/>
      <c r="I102" s="198"/>
      <c r="K102" s="103"/>
    </row>
    <row r="103" spans="1:11" s="51" customFormat="1" ht="33.75" x14ac:dyDescent="0.2">
      <c r="A103" s="134" t="str">
        <f>'MM CALC'!A100</f>
        <v>7.6.15</v>
      </c>
      <c r="B103" s="134" t="str">
        <f>'MM CALC'!B100</f>
        <v>SEINFRA</v>
      </c>
      <c r="C103" s="164" t="str">
        <f>'MM CALC'!C100</f>
        <v>ED-50331</v>
      </c>
      <c r="D103" s="182" t="str">
        <f>'MM CALC'!D100</f>
        <v>TORNEIRA METÁLICA PARA TANQUE, ACABAMENTO CROMADO, INCLUSIVE ENGATE FLEXÍVEL METÁLICO, FORNECIMENTO E INSTALAÇÃO</v>
      </c>
      <c r="E103" s="181" t="str">
        <f>'MM CALC'!E100</f>
        <v>u</v>
      </c>
      <c r="F103" s="163">
        <f>'MM CALC'!F100</f>
        <v>1</v>
      </c>
      <c r="G103" s="197"/>
      <c r="H103" s="198"/>
      <c r="I103" s="198"/>
      <c r="K103" s="103"/>
    </row>
    <row r="104" spans="1:11" s="51" customFormat="1" ht="45" x14ac:dyDescent="0.2">
      <c r="A104" s="134" t="str">
        <f>'MM CALC'!A101</f>
        <v>7.6.16</v>
      </c>
      <c r="B104" s="134" t="str">
        <f>'MM CALC'!B101</f>
        <v>SEINFRA</v>
      </c>
      <c r="C104" s="164" t="str">
        <f>'MM CALC'!C101</f>
        <v>ED-50289</v>
      </c>
      <c r="D104" s="182" t="str">
        <f>'MM CALC'!D101</f>
        <v>TANQUE DE LOUÇA BRANCA COM COLUNA, CAPACIDADE 22 LITROS, INCLUSIVE ACESSÓRIOS DE FIXAÇÃO, FORNECIMENTO, INSTALAÇÃO E REJUNTAMENTO, EXCLUSIVE TORNEIRA, VÁLVULA DE ESCOAMENTO E SIFÃO</v>
      </c>
      <c r="E104" s="181" t="str">
        <f>'MM CALC'!E101</f>
        <v>u</v>
      </c>
      <c r="F104" s="163">
        <f>'MM CALC'!F101</f>
        <v>1</v>
      </c>
      <c r="G104" s="197"/>
      <c r="H104" s="198"/>
      <c r="I104" s="198"/>
      <c r="K104" s="103"/>
    </row>
    <row r="105" spans="1:11" s="56" customFormat="1" ht="56.25" x14ac:dyDescent="0.2">
      <c r="A105" s="134" t="str">
        <f>'MM CALC'!A102</f>
        <v>7.6.17</v>
      </c>
      <c r="B105" s="134" t="str">
        <f>'MM CALC'!B102</f>
        <v>SEINFRA</v>
      </c>
      <c r="C105" s="164" t="str">
        <f>'MM CALC'!C102</f>
        <v>ED-50298</v>
      </c>
      <c r="D105" s="182" t="str">
        <f>'MM CALC'!D102</f>
        <v>BACIA SANITÁRIA (VASO) DE LOUÇA CONVENCIONAL, COR BRANCA, INCLUSIVE ACESSÓRIOS DE FIXAÇÃO/VEDAÇÃO, VÁLVULA DE DESCARGA METÁLICA COM ACIONAMENTO DUPLO, TUBO DE LIGAÇÃO DE LATÃO COM CANOPLA, FORNECIMENTO, INSTALAÇÃO E REJUNTAMENTO</v>
      </c>
      <c r="E105" s="181" t="str">
        <f>'MM CALC'!E102</f>
        <v>u</v>
      </c>
      <c r="F105" s="163">
        <f>'MM CALC'!F102</f>
        <v>2</v>
      </c>
      <c r="G105" s="199"/>
      <c r="H105" s="199"/>
      <c r="I105" s="198"/>
      <c r="K105" s="102"/>
    </row>
    <row r="106" spans="1:11" s="51" customFormat="1" ht="101.25" x14ac:dyDescent="0.2">
      <c r="A106" s="134" t="str">
        <f>'MM CALC'!A103</f>
        <v>7.6.18</v>
      </c>
      <c r="B106" s="134" t="str">
        <f>'MM CALC'!B103</f>
        <v>SEINFRA</v>
      </c>
      <c r="C106" s="164" t="str">
        <f>'MM CALC'!C103</f>
        <v>ED-50301</v>
      </c>
      <c r="D106" s="182" t="str">
        <f>'MM CALC'!D103</f>
        <v>BACIA SANITÁRIA (VASO) DE LOUÇA CONVENCIONAL, ACESSÍVEL (PCR/PMR), COR BRANCA, COM INSTALAÇÃO DE SÓCULO NA BASE DA BACIA ACOMPANHANDO A PROJEÇÃO DA BASE, NÃO ULTRAPASSANDO ALTURA DE 5CM, ALTURA MÁXIMA DE 46CM ( BACIA+ASSENTO), INCLUSIVE ACESSÓRIOS DE FIXAÇÃO/ VEDAÇÃO, VÁLVULA DE DESCARGA METÁLICA COM ACIONAMENTO DUPLO, TUBO DE LIGAÇÃO DE LATÃO COM CANOPLA, FORNECIMENTO, INSTALAÇÃO E REJUNTAMENTO, EXCLUSIVE ASSENTO</v>
      </c>
      <c r="E106" s="181" t="str">
        <f>'MM CALC'!E103</f>
        <v>u</v>
      </c>
      <c r="F106" s="163">
        <f>'MM CALC'!F103</f>
        <v>5</v>
      </c>
      <c r="G106" s="198"/>
      <c r="H106" s="198"/>
      <c r="I106" s="198"/>
      <c r="K106" s="103"/>
    </row>
    <row r="107" spans="1:11" s="51" customFormat="1" ht="11.25" x14ac:dyDescent="0.2">
      <c r="A107" s="134" t="str">
        <f>'MM CALC'!A104</f>
        <v>7.6.19</v>
      </c>
      <c r="B107" s="134" t="str">
        <f>'MM CALC'!B104</f>
        <v>SEINFRA</v>
      </c>
      <c r="C107" s="164" t="str">
        <f>'MM CALC'!C104</f>
        <v>ED-48169</v>
      </c>
      <c r="D107" s="182" t="str">
        <f>'MM CALC'!D104</f>
        <v xml:space="preserve">BEBEDOURO GEMINADO MG-F 80 INOX </v>
      </c>
      <c r="E107" s="181" t="str">
        <f>'MM CALC'!E104</f>
        <v>u</v>
      </c>
      <c r="F107" s="163">
        <f>'MM CALC'!F104</f>
        <v>3</v>
      </c>
      <c r="G107" s="198"/>
      <c r="H107" s="198"/>
      <c r="I107" s="198"/>
      <c r="K107" s="103"/>
    </row>
    <row r="108" spans="1:11" s="51" customFormat="1" ht="22.5" x14ac:dyDescent="0.2">
      <c r="A108" s="134" t="str">
        <f>'MM CALC'!A105</f>
        <v>7.6.20</v>
      </c>
      <c r="B108" s="134" t="str">
        <f>'MM CALC'!B105</f>
        <v>SEINFRA</v>
      </c>
      <c r="C108" s="164" t="str">
        <f>'MM CALC'!C105</f>
        <v>ED-51152</v>
      </c>
      <c r="D108" s="182" t="str">
        <f>'MM CALC'!D105</f>
        <v>ESPELHO (40X60CM) ESP.4MM INCLUSIVE FIXAÇÃO COM PARAFUSO FINESSON - FORNECIMENTO E INSTALAÇÃO</v>
      </c>
      <c r="E108" s="181" t="str">
        <f>'MM CALC'!E105</f>
        <v>u</v>
      </c>
      <c r="F108" s="163">
        <f>'MM CALC'!F105</f>
        <v>6</v>
      </c>
      <c r="G108" s="198"/>
      <c r="H108" s="198"/>
      <c r="I108" s="198"/>
      <c r="K108" s="103"/>
    </row>
    <row r="109" spans="1:11" s="51" customFormat="1" ht="33.75" x14ac:dyDescent="0.2">
      <c r="A109" s="134" t="str">
        <f>'MM CALC'!A106</f>
        <v>7.6.21</v>
      </c>
      <c r="B109" s="134" t="str">
        <f>'MM CALC'!B106</f>
        <v>SEINFRA</v>
      </c>
      <c r="C109" s="164" t="str">
        <f>'MM CALC'!C106</f>
        <v>ED-16344</v>
      </c>
      <c r="D109" s="182" t="str">
        <f>'MM CALC'!D106</f>
        <v>CHUVEIRO ELÉTRICO BRANCO, TENSÃO 127V/220V, POTÊNCIA 4600W/5500W, INCLUSIVE BRAÇO, FORNECIMENTO E INSTALAÇÃO</v>
      </c>
      <c r="E109" s="181" t="str">
        <f>'MM CALC'!E106</f>
        <v>u</v>
      </c>
      <c r="F109" s="163">
        <f>'MM CALC'!F106</f>
        <v>2</v>
      </c>
      <c r="G109" s="198"/>
      <c r="H109" s="198"/>
      <c r="I109" s="198"/>
      <c r="K109" s="103"/>
    </row>
    <row r="110" spans="1:11" s="51" customFormat="1" ht="45" x14ac:dyDescent="0.2">
      <c r="A110" s="134" t="str">
        <f>'MM CALC'!A107</f>
        <v>7.6.22</v>
      </c>
      <c r="B110" s="134" t="str">
        <f>'MM CALC'!B107</f>
        <v>SEINFRA</v>
      </c>
      <c r="C110" s="164" t="str">
        <f>'MM CALC'!C107</f>
        <v>ED-48160</v>
      </c>
      <c r="D110" s="182" t="str">
        <f>'MM CALC'!D107</f>
        <v>BARRA DE APOIO EM AÇO INOX POLIDO RETA, DN 1.1/4" (31,75MM) , PARA ACESSIBILIDADE (PMR/PCR), COMPRIMENTO 80CM, INSTALADO EM PAREDE, INCLUSIVE FORNECIMENTO, INSTALAÇÃO E ACESSÓRIOS PARA FIXAÇÃO</v>
      </c>
      <c r="E110" s="181" t="str">
        <f>'MM CALC'!E107</f>
        <v>u</v>
      </c>
      <c r="F110" s="163">
        <f>'MM CALC'!F107</f>
        <v>5</v>
      </c>
      <c r="G110" s="198"/>
      <c r="H110" s="198"/>
      <c r="I110" s="198"/>
      <c r="K110" s="103"/>
    </row>
    <row r="111" spans="1:11" s="51" customFormat="1" ht="22.5" x14ac:dyDescent="0.2">
      <c r="A111" s="134" t="str">
        <f>'MM CALC'!A108</f>
        <v>7.6.23</v>
      </c>
      <c r="B111" s="134" t="str">
        <f>'MM CALC'!B108</f>
        <v>SEINFRA</v>
      </c>
      <c r="C111" s="164" t="str">
        <f>'MM CALC'!C108</f>
        <v>ED-50982</v>
      </c>
      <c r="D111" s="182" t="str">
        <f>'MM CALC'!D108</f>
        <v>PORTÃO DE FERRO PADRÃO, EM CHAPA (TIPO LAMBRI), COLOCADO COM CADEADO</v>
      </c>
      <c r="E111" s="181" t="str">
        <f>'MM CALC'!E108</f>
        <v>m²</v>
      </c>
      <c r="F111" s="163">
        <f>'MM CALC'!F108</f>
        <v>6.84</v>
      </c>
      <c r="G111" s="198"/>
      <c r="H111" s="198"/>
      <c r="I111" s="198"/>
      <c r="K111" s="103"/>
    </row>
    <row r="112" spans="1:11" s="51" customFormat="1" ht="22.5" x14ac:dyDescent="0.2">
      <c r="A112" s="134" t="str">
        <f>'MM CALC'!A109</f>
        <v>7.6.24</v>
      </c>
      <c r="B112" s="134" t="str">
        <f>'MM CALC'!B109</f>
        <v>SBC</v>
      </c>
      <c r="C112" s="164">
        <f>'MM CALC'!C109</f>
        <v>190036</v>
      </c>
      <c r="D112" s="182" t="str">
        <f>'MM CALC'!D109</f>
        <v>TANQUE DE EXPURGO ACO INOXIDAVEL-TAMPA LAT. 500x500mm</v>
      </c>
      <c r="E112" s="181" t="str">
        <f>'MM CALC'!E109</f>
        <v>u</v>
      </c>
      <c r="F112" s="163">
        <f>'MM CALC'!F109</f>
        <v>2</v>
      </c>
      <c r="G112" s="198"/>
      <c r="H112" s="198"/>
      <c r="I112" s="198"/>
      <c r="K112" s="103"/>
    </row>
    <row r="113" spans="1:11" s="191" customFormat="1" ht="11.25" x14ac:dyDescent="0.2">
      <c r="A113" s="135">
        <f>'MM CALC'!A110</f>
        <v>8</v>
      </c>
      <c r="B113" s="135"/>
      <c r="C113" s="156"/>
      <c r="D113" s="212" t="str">
        <f>'MM CALC'!D110</f>
        <v>INSTALAÇÕES ELÉTRICAS</v>
      </c>
      <c r="E113" s="161"/>
      <c r="F113" s="208"/>
      <c r="G113" s="210"/>
      <c r="H113" s="210"/>
      <c r="I113" s="189"/>
      <c r="K113" s="192"/>
    </row>
    <row r="114" spans="1:11" s="51" customFormat="1" ht="42" customHeight="1" x14ac:dyDescent="0.2">
      <c r="A114" s="134" t="str">
        <f>'MM CALC'!A111</f>
        <v>8.1</v>
      </c>
      <c r="B114" s="134" t="str">
        <f>'MM CALC'!B111</f>
        <v>SEINFRA</v>
      </c>
      <c r="C114" s="164" t="str">
        <f>'MM CALC'!C111</f>
        <v>ED-13345</v>
      </c>
      <c r="D114" s="182" t="str">
        <f>'MM CALC'!D111</f>
        <v>LUMINÁRIA ARANDELA TIPO MEIA-LUA COMPLETA, DIÂMETRO 25 CM, PARA UMA (1) LÂMPADA LED, POTÊNCIA 15W, BULBO A65, FORNECIMENTO E INSTALAÇÃO, INCLUSIVE BASE E LÂMPADA</v>
      </c>
      <c r="E114" s="181" t="str">
        <f>'MM CALC'!E111</f>
        <v>u</v>
      </c>
      <c r="F114" s="163">
        <f>'MM CALC'!F111</f>
        <v>15</v>
      </c>
      <c r="G114" s="198"/>
      <c r="H114" s="198"/>
      <c r="I114" s="198"/>
      <c r="K114" s="103"/>
    </row>
    <row r="115" spans="1:11" s="51" customFormat="1" ht="45" x14ac:dyDescent="0.2">
      <c r="A115" s="134" t="str">
        <f>'MM CALC'!A112</f>
        <v>8.2</v>
      </c>
      <c r="B115" s="134" t="str">
        <f>'MM CALC'!B112</f>
        <v>SEINFRA</v>
      </c>
      <c r="C115" s="164" t="str">
        <f>'MM CALC'!C112</f>
        <v>ED-13357</v>
      </c>
      <c r="D115" s="182" t="str">
        <f>'MM CALC'!D112</f>
        <v>LUMINÁRIA PLAFON REDONDO DE VIDRO JATEADO REDONDO COMPLETA, DIÂMETRO 25 CM, PARA UMA (1) LÂMPADA LED, POTÊNCIA 15W, BULBO A65, FORNECIMENTO E INSTALAÇÃO, INCLUSIVE BASE E LÂMPADA</v>
      </c>
      <c r="E115" s="181" t="str">
        <f>'MM CALC'!E112</f>
        <v>u</v>
      </c>
      <c r="F115" s="163">
        <f>'MM CALC'!F112</f>
        <v>50</v>
      </c>
      <c r="G115" s="198"/>
      <c r="H115" s="198"/>
      <c r="I115" s="198"/>
      <c r="K115" s="103"/>
    </row>
    <row r="116" spans="1:11" s="51" customFormat="1" ht="90" x14ac:dyDescent="0.2">
      <c r="A116" s="134" t="str">
        <f>'MM CALC'!A113</f>
        <v>8.3</v>
      </c>
      <c r="B116" s="134" t="str">
        <f>'MM CALC'!B113</f>
        <v>SEINFRA</v>
      </c>
      <c r="C116" s="164" t="str">
        <f>'MM CALC'!C113</f>
        <v>ED-50228</v>
      </c>
      <c r="D116" s="182" t="str">
        <f>'MM CALC'!D113</f>
        <v>PONTO DE EMBUTIR PARA UMA (1) LUMINÁRIA,COM ELETRODUTO DE PVC RÍGIDO ROSCÁVEL, DN 20MM (3/4"), EMBUTIDO NA LAJE E CABO DE COBRE FLEXÍVEL, CLASSE 5, ISOLAMENTO TIPO LSHF/ ATOX, NÃO HALOGENADO, SEÇÃO 1,5MM2 (70°C-450/750V), COM DISTÂNCIA DE ATÉ CINCO (5) METROS DO PONTO DE DERIVAÇÃO, EXCLUSIVE LUMINÁRIA, INCLUSIVE CAIXA DE LIGAÇÃO OCTOGONAL, SUPORTE E FIXAÇÃO DO ELETRODUTO</v>
      </c>
      <c r="E116" s="181" t="str">
        <f>'MM CALC'!E113</f>
        <v>u</v>
      </c>
      <c r="F116" s="163">
        <f>'MM CALC'!F113</f>
        <v>65</v>
      </c>
      <c r="G116" s="198"/>
      <c r="H116" s="198"/>
      <c r="I116" s="198"/>
      <c r="K116" s="103"/>
    </row>
    <row r="117" spans="1:11" s="51" customFormat="1" ht="45" x14ac:dyDescent="0.2">
      <c r="A117" s="134" t="str">
        <f>'MM CALC'!A114</f>
        <v>8.4</v>
      </c>
      <c r="B117" s="134" t="str">
        <f>'MM CALC'!B114</f>
        <v>SEINFRA</v>
      </c>
      <c r="C117" s="164" t="str">
        <f>'MM CALC'!C114</f>
        <v>ED-15733</v>
      </c>
      <c r="D117" s="182" t="str">
        <f>'MM CALC'!D114</f>
        <v>CONJUNTO DE UM (1) INTERRUPTOR SIMPLES, CORRENTE 10A, TENSÃO 250V, (10A-250V), COM PLACA 4"X2" DE UM (1) POSTO, INCLUSIVE FORNECIMENTO, INSTALAÇÃO, SUPORTE, MÓDULO E PLACA</v>
      </c>
      <c r="E117" s="181" t="str">
        <f>'MM CALC'!E114</f>
        <v>u</v>
      </c>
      <c r="F117" s="163">
        <f>'MM CALC'!F114</f>
        <v>18</v>
      </c>
      <c r="G117" s="198"/>
      <c r="H117" s="198"/>
      <c r="I117" s="198"/>
      <c r="K117" s="103"/>
    </row>
    <row r="118" spans="1:11" s="51" customFormat="1" ht="112.5" x14ac:dyDescent="0.2">
      <c r="A118" s="134" t="str">
        <f>'MM CALC'!A115</f>
        <v>8.5</v>
      </c>
      <c r="B118" s="134" t="str">
        <f>'MM CALC'!B115</f>
        <v>SEINFRA</v>
      </c>
      <c r="C118" s="164" t="str">
        <f>'MM CALC'!C115</f>
        <v>ED-50227</v>
      </c>
      <c r="D118" s="182" t="str">
        <f>'MM CALC'!D115</f>
        <v>PONTO DE EMBUTIR PARA UM (1) INTERRUPTOR SIMPLES (10A_x0002_250V), COM PLACA 4"X2" DE UM (1) POSTO, COM ELETRODUTO FLEXÍVEL CORRUGADO, ANTI-CHAMA, DN 25MM (3/4"), EMBUTIDO NA ALVENARIA E CABO DE COBRE FLEXÍVEL, CLASSE 5, ISOLAMENTO TIPO LSHF/ATOX, NÃO HALOGENADO, SEÇÃO 1, 5MM2 (70°C-450/750V), COM DISTÂNCIA DE ATÉ DEZ (10) METROS DO PONTO DE DERIVAÇÃO, INCLUSIVE CAIXA DE LIGAÇÃO, SUPORTE E FIXAÇÃO DO ELETRODUTO COM ENCHIMENTO DO RASGO NA ALVENARIA/CONCRETO COM ARGAMASSA</v>
      </c>
      <c r="E118" s="181" t="str">
        <f>'MM CALC'!E115</f>
        <v>u</v>
      </c>
      <c r="F118" s="163">
        <f>'MM CALC'!F115</f>
        <v>18</v>
      </c>
      <c r="G118" s="198"/>
      <c r="H118" s="198"/>
      <c r="I118" s="198"/>
      <c r="K118" s="103"/>
    </row>
    <row r="119" spans="1:11" s="51" customFormat="1" ht="45" x14ac:dyDescent="0.2">
      <c r="A119" s="134" t="str">
        <f>'MM CALC'!A116</f>
        <v>8.6</v>
      </c>
      <c r="B119" s="134" t="str">
        <f>'MM CALC'!B116</f>
        <v>SEINFRA</v>
      </c>
      <c r="C119" s="164" t="str">
        <f>'MM CALC'!C116</f>
        <v>ED-15748</v>
      </c>
      <c r="D119" s="182" t="str">
        <f>'MM CALC'!D116</f>
        <v>CONJUNTO DE UMA (1) TOMADA PADRÃO, TRÊS (3) POLOS, CORRENTE 10A, TENSÃO 250V, (2P+T/10A-250V), COM PLACA 4"X2" DE UM (1) POSTO, INCLUSIVE FORNECIMENTO, INSTALAÇÃO, SUPORTE, MÓDULO E PLACA</v>
      </c>
      <c r="E119" s="181" t="str">
        <f>'MM CALC'!E116</f>
        <v>u</v>
      </c>
      <c r="F119" s="163">
        <f>'MM CALC'!F116</f>
        <v>60</v>
      </c>
      <c r="G119" s="198"/>
      <c r="H119" s="198"/>
      <c r="I119" s="198"/>
      <c r="K119" s="103"/>
    </row>
    <row r="120" spans="1:11" s="51" customFormat="1" ht="112.5" x14ac:dyDescent="0.2">
      <c r="A120" s="134" t="str">
        <f>'MM CALC'!A117</f>
        <v>8.7</v>
      </c>
      <c r="B120" s="134" t="str">
        <f>'MM CALC'!B117</f>
        <v>SEINFRA</v>
      </c>
      <c r="C120" s="164" t="str">
        <f>'MM CALC'!C117</f>
        <v>ED-50232</v>
      </c>
      <c r="D120" s="182" t="str">
        <f>'MM CALC'!D117</f>
        <v>PONTO DE EMBUTIR PARA UMA (1) TOMADA PADRÃO, TRÊS (3) POLOS (2P+T/10A-250V), COM PLACA 4"X2" DE UM (1) POSTO, COM ELETRODUTO FLEXÍVEL CORRUGADO, ANTI-CHAMA, DN 25MM (3/ 4"), EMBUTIDO NA ALVENARIA E CABO DE COBRE FLEXÍVEL, CLASSE 5, ISOLAMENTO TIPO LSHF/ATOX, NÃO HALOGENADO, SEÇÃO 2,5MM2 (70°C-450/750V), COM DISTÂNCIA DE ATÉ DEZ (10) METROS DO PONTO DE DERIVAÇÃO, INCLUSIVE CAIXA DE LIGAÇÃO, SUPORTE E FIXAÇÃO DO ELETRODUTO COM ENCHIMENTO DO RASGO NA ALVENARIA/CONCRETO COM ARGAMASSA</v>
      </c>
      <c r="E120" s="181" t="str">
        <f>'MM CALC'!E117</f>
        <v>u</v>
      </c>
      <c r="F120" s="163">
        <f>'MM CALC'!F117</f>
        <v>40</v>
      </c>
      <c r="G120" s="198"/>
      <c r="H120" s="198"/>
      <c r="I120" s="198"/>
      <c r="K120" s="103"/>
    </row>
    <row r="121" spans="1:11" s="51" customFormat="1" ht="56.25" x14ac:dyDescent="0.2">
      <c r="A121" s="134" t="str">
        <f>'MM CALC'!A118</f>
        <v>8.8</v>
      </c>
      <c r="B121" s="134" t="str">
        <f>'MM CALC'!B118</f>
        <v>SEINFRA</v>
      </c>
      <c r="C121" s="164" t="str">
        <f>'MM CALC'!C118</f>
        <v>ED-15756</v>
      </c>
      <c r="D121" s="182" t="str">
        <f>'MM CALC'!D118</f>
        <v xml:space="preserve"> CONJUNTO DE DUAS (2) TOMADAS PADRÃO, TRÊS (3) POLOS,
CORRENTE 20A, TENSÃO 250V, (2P+T/20A-250V), COM PLACA 4"X2"
DE DOIS (2) POSTOS, INCLUSIVE FORNECIMENTO, INSTALAÇÃO,
SUPORTE, MÓDULO E PLACA</v>
      </c>
      <c r="E121" s="181" t="str">
        <f>'MM CALC'!E118</f>
        <v>u</v>
      </c>
      <c r="F121" s="163">
        <f>'MM CALC'!F118</f>
        <v>20</v>
      </c>
      <c r="G121" s="198"/>
      <c r="H121" s="198"/>
      <c r="I121" s="198"/>
      <c r="K121" s="103"/>
    </row>
    <row r="122" spans="1:11" s="51" customFormat="1" ht="33.75" x14ac:dyDescent="0.2">
      <c r="A122" s="134" t="str">
        <f>'MM CALC'!A119</f>
        <v>8.9</v>
      </c>
      <c r="B122" s="134" t="str">
        <f>'MM CALC'!B119</f>
        <v>SEINFRA</v>
      </c>
      <c r="C122" s="164" t="str">
        <f>'MM CALC'!C119</f>
        <v>ED-7252</v>
      </c>
      <c r="D122" s="182" t="str">
        <f>'MM CALC'!D119</f>
        <v>ELETRODUTO FLEXÍVEL, EM AÇO GALVANIZADO, REVESTIDO EXTERNAMENTE COM PVC PRETO (2"), INCLUSIVE CONEXÕES, SUPORTES E FIXAÇÃO</v>
      </c>
      <c r="E122" s="181" t="str">
        <f>'MM CALC'!E119</f>
        <v>m</v>
      </c>
      <c r="F122" s="163">
        <f>'MM CALC'!F119</f>
        <v>40</v>
      </c>
      <c r="G122" s="198"/>
      <c r="H122" s="198"/>
      <c r="I122" s="198"/>
      <c r="K122" s="103"/>
    </row>
    <row r="123" spans="1:11" s="51" customFormat="1" ht="33.75" x14ac:dyDescent="0.2">
      <c r="A123" s="134" t="str">
        <f>'MM CALC'!A120</f>
        <v>8.10</v>
      </c>
      <c r="B123" s="134" t="str">
        <f>'MM CALC'!B120</f>
        <v>SEINFRA</v>
      </c>
      <c r="C123" s="164" t="str">
        <f>'MM CALC'!C120</f>
        <v>ED-48971</v>
      </c>
      <c r="D123" s="182" t="str">
        <f>'MM CALC'!D120</f>
        <v>CABO DE COBRE FLEXÍVEL, CLASSE 5, ISOLAMENTO TIPO LSHF/ ATOX, NÃO HALOGENADO, ANTICHAMA, TERMOPLÁSTICO, UNIPOLAR, SEÇÃO 16 MM2, 70°C, 450/750V</v>
      </c>
      <c r="E123" s="181" t="str">
        <f>'MM CALC'!E120</f>
        <v>m</v>
      </c>
      <c r="F123" s="163">
        <f>'MM CALC'!F120</f>
        <v>200</v>
      </c>
      <c r="G123" s="198"/>
      <c r="H123" s="198"/>
      <c r="I123" s="198"/>
      <c r="K123" s="103"/>
    </row>
    <row r="124" spans="1:11" s="51" customFormat="1" ht="11.25" x14ac:dyDescent="0.2">
      <c r="A124" s="134" t="str">
        <f>'MM CALC'!A121</f>
        <v>8.11</v>
      </c>
      <c r="B124" s="134" t="str">
        <f>'MM CALC'!B121</f>
        <v>SEINFRA</v>
      </c>
      <c r="C124" s="164" t="str">
        <f>'MM CALC'!C121</f>
        <v>ED-49230</v>
      </c>
      <c r="D124" s="182" t="str">
        <f>'MM CALC'!D121</f>
        <v>DISJUNTOR MONOPOLAR TERMOMAGNÉTICO 5KA, DE 16A</v>
      </c>
      <c r="E124" s="181" t="str">
        <f>'MM CALC'!E121</f>
        <v>u</v>
      </c>
      <c r="F124" s="163">
        <f>'MM CALC'!F121</f>
        <v>4</v>
      </c>
      <c r="G124" s="198"/>
      <c r="H124" s="198"/>
      <c r="I124" s="198"/>
      <c r="K124" s="103"/>
    </row>
    <row r="125" spans="1:11" s="51" customFormat="1" ht="11.25" x14ac:dyDescent="0.2">
      <c r="A125" s="134" t="str">
        <f>'MM CALC'!A122</f>
        <v>8.12</v>
      </c>
      <c r="B125" s="134" t="str">
        <f>'MM CALC'!B122</f>
        <v>SEINFRA</v>
      </c>
      <c r="C125" s="164" t="str">
        <f>'MM CALC'!C122</f>
        <v>ED-49232</v>
      </c>
      <c r="D125" s="182" t="str">
        <f>'MM CALC'!D122</f>
        <v>DISJUNTOR MONOPOLAR TERMOMAGNÉTICO 5KA, DE 25A</v>
      </c>
      <c r="E125" s="181" t="str">
        <f>'MM CALC'!E122</f>
        <v>u</v>
      </c>
      <c r="F125" s="163">
        <f>'MM CALC'!F122</f>
        <v>16</v>
      </c>
      <c r="G125" s="198"/>
      <c r="H125" s="198"/>
      <c r="I125" s="198"/>
      <c r="K125" s="103"/>
    </row>
    <row r="126" spans="1:11" s="51" customFormat="1" ht="11.25" x14ac:dyDescent="0.2">
      <c r="A126" s="134" t="str">
        <f>'MM CALC'!A123</f>
        <v>8.13</v>
      </c>
      <c r="B126" s="134" t="str">
        <f>'MM CALC'!B123</f>
        <v>SEINFRA</v>
      </c>
      <c r="C126" s="164" t="str">
        <f>'MM CALC'!C123</f>
        <v>ED-49240</v>
      </c>
      <c r="D126" s="182" t="str">
        <f>'MM CALC'!D123</f>
        <v>DISJUNTOR BIPOLAR TERMOMAGNÉTICO 10KA, DE 25A</v>
      </c>
      <c r="E126" s="181" t="str">
        <f>'MM CALC'!E123</f>
        <v>u</v>
      </c>
      <c r="F126" s="163">
        <f>'MM CALC'!F123</f>
        <v>9</v>
      </c>
      <c r="G126" s="198"/>
      <c r="H126" s="198"/>
      <c r="I126" s="198"/>
      <c r="K126" s="103"/>
    </row>
    <row r="127" spans="1:11" s="51" customFormat="1" ht="11.25" x14ac:dyDescent="0.2">
      <c r="A127" s="134" t="str">
        <f>'MM CALC'!A124</f>
        <v>8.14</v>
      </c>
      <c r="B127" s="134" t="str">
        <f>'MM CALC'!B124</f>
        <v>SEINFRA</v>
      </c>
      <c r="C127" s="164" t="str">
        <f>'MM CALC'!C124</f>
        <v>ED-49274</v>
      </c>
      <c r="D127" s="182" t="str">
        <f>'MM CALC'!D124</f>
        <v>DISJUNTOR BIPOLAR TERMOMAGNÉTICO 5KA, DE 32A</v>
      </c>
      <c r="E127" s="181" t="str">
        <f>'MM CALC'!E124</f>
        <v>u</v>
      </c>
      <c r="F127" s="163">
        <f>'MM CALC'!F124</f>
        <v>2</v>
      </c>
      <c r="G127" s="198"/>
      <c r="H127" s="198"/>
      <c r="I127" s="198"/>
      <c r="K127" s="103"/>
    </row>
    <row r="128" spans="1:11" s="51" customFormat="1" ht="11.25" x14ac:dyDescent="0.2">
      <c r="A128" s="134" t="str">
        <f>'MM CALC'!A125</f>
        <v>8.15</v>
      </c>
      <c r="B128" s="134" t="str">
        <f>'MM CALC'!B125</f>
        <v>SEINFRA</v>
      </c>
      <c r="C128" s="164" t="str">
        <f>'MM CALC'!C125</f>
        <v>ED-49260</v>
      </c>
      <c r="D128" s="182" t="str">
        <f>'MM CALC'!D125</f>
        <v>DISJUNTOR TRIPOLAR TERMOMAGNÉTICO 10KA, DE 60A</v>
      </c>
      <c r="E128" s="181" t="str">
        <f>'MM CALC'!E125</f>
        <v>u</v>
      </c>
      <c r="F128" s="163">
        <f>'MM CALC'!F125</f>
        <v>4</v>
      </c>
      <c r="G128" s="198"/>
      <c r="H128" s="198"/>
      <c r="I128" s="198"/>
      <c r="K128" s="103"/>
    </row>
    <row r="129" spans="1:11" s="51" customFormat="1" ht="22.5" x14ac:dyDescent="0.2">
      <c r="A129" s="134" t="str">
        <f>'MM CALC'!A126</f>
        <v>8.16</v>
      </c>
      <c r="B129" s="134" t="str">
        <f>'MM CALC'!B126</f>
        <v>SEINFRA</v>
      </c>
      <c r="C129" s="164" t="str">
        <f>'MM CALC'!C126</f>
        <v>ED-49502</v>
      </c>
      <c r="D129" s="182" t="str">
        <f>'MM CALC'!D126</f>
        <v>QUADRO DE DISTRIBUIÇÃO PARA 36 MÓDULOS COM BARRAMENTO 100 A</v>
      </c>
      <c r="E129" s="181" t="str">
        <f>'MM CALC'!E126</f>
        <v>u</v>
      </c>
      <c r="F129" s="163">
        <f>'MM CALC'!F126</f>
        <v>2</v>
      </c>
      <c r="G129" s="198"/>
      <c r="H129" s="198"/>
      <c r="I129" s="198"/>
      <c r="K129" s="103"/>
    </row>
    <row r="130" spans="1:11" s="51" customFormat="1" ht="45" x14ac:dyDescent="0.2">
      <c r="A130" s="134" t="str">
        <f>'MM CALC'!A127</f>
        <v>8.17</v>
      </c>
      <c r="B130" s="134" t="str">
        <f>'MM CALC'!B127</f>
        <v>SEINFRA</v>
      </c>
      <c r="C130" s="164" t="str">
        <f>'MM CALC'!C127</f>
        <v>ED-15115</v>
      </c>
      <c r="D130" s="182" t="str">
        <f>'MM CALC'!D127</f>
        <v>DISJUNTOR DE PROTEÇÃO DIFERENCIAL RESIDUAL (DR),
BIPOLAR, TIPO DIN, CORRENTE NOMINAL DE 40A, ALTA
SENSIBILIDADE, CORRENTE DIFERENCIAL RESIDUAL NOMINAL
COM ATUAÇÃO DE 30MA</v>
      </c>
      <c r="E130" s="181" t="str">
        <f>'MM CALC'!E127</f>
        <v>u</v>
      </c>
      <c r="F130" s="163">
        <f>'MM CALC'!F127</f>
        <v>8</v>
      </c>
      <c r="G130" s="198"/>
      <c r="H130" s="198"/>
      <c r="I130" s="198"/>
      <c r="K130" s="103"/>
    </row>
    <row r="131" spans="1:11" s="51" customFormat="1" ht="22.5" x14ac:dyDescent="0.2">
      <c r="A131" s="134" t="str">
        <f>'MM CALC'!A128</f>
        <v>8.18</v>
      </c>
      <c r="B131" s="134" t="str">
        <f>'MM CALC'!B128</f>
        <v>SEINFRA</v>
      </c>
      <c r="C131" s="164" t="str">
        <f>'MM CALC'!C128</f>
        <v>ED-49527</v>
      </c>
      <c r="D131" s="182" t="str">
        <f>'MM CALC'!D128</f>
        <v>SUPRESSOR DE SURTO PARA PROTEÇÃO PRIMÁRIA EM QGD, ATÉ 1,5 KV - 5 KA</v>
      </c>
      <c r="E131" s="181" t="str">
        <f>'MM CALC'!E128</f>
        <v>u</v>
      </c>
      <c r="F131" s="163">
        <f>'MM CALC'!F128</f>
        <v>2</v>
      </c>
      <c r="G131" s="198"/>
      <c r="H131" s="198"/>
      <c r="I131" s="198"/>
      <c r="K131" s="103"/>
    </row>
    <row r="132" spans="1:11" s="51" customFormat="1" ht="45" x14ac:dyDescent="0.2">
      <c r="A132" s="134" t="str">
        <f>'MM CALC'!A129</f>
        <v>8.19</v>
      </c>
      <c r="B132" s="134" t="str">
        <f>'MM CALC'!B129</f>
        <v>SEINFRA</v>
      </c>
      <c r="C132" s="164" t="str">
        <f>'MM CALC'!C129</f>
        <v>ED-20581</v>
      </c>
      <c r="D132" s="182" t="str">
        <f>'MM CALC'!D129</f>
        <v>ENTRADA DE ENERGIA AÉREA, TIPO C1, PADRÃO CEMIG, CARGA INSTALADA DE ATÉ 15KVA, TRIFÁSICO, COM SAÍDA SUBTERRÂNEA, INCLUSIVE POSTE, CAIXA PARA MEDIDOR, DISJUNTOR, BARRAMENTO, ATERRAMENTO E ACESSÓRIOS</v>
      </c>
      <c r="E132" s="181" t="str">
        <f>'MM CALC'!E129</f>
        <v>u</v>
      </c>
      <c r="F132" s="163">
        <f>'MM CALC'!F129</f>
        <v>1</v>
      </c>
      <c r="G132" s="198"/>
      <c r="H132" s="198"/>
      <c r="I132" s="198"/>
      <c r="K132" s="103"/>
    </row>
    <row r="133" spans="1:11" s="56" customFormat="1" ht="11.25" x14ac:dyDescent="0.2">
      <c r="A133" s="135">
        <f>'MM CALC'!A130</f>
        <v>9</v>
      </c>
      <c r="B133" s="135"/>
      <c r="C133" s="156"/>
      <c r="D133" s="212" t="str">
        <f>'MM CALC'!D130</f>
        <v>INSTALAÇÕES HIDROSSANITÁRIAS</v>
      </c>
      <c r="E133" s="213"/>
      <c r="F133" s="214"/>
      <c r="G133" s="138"/>
      <c r="H133" s="140"/>
      <c r="I133" s="200"/>
      <c r="K133" s="102"/>
    </row>
    <row r="134" spans="1:11" s="51" customFormat="1" ht="22.5" x14ac:dyDescent="0.2">
      <c r="A134" s="134" t="str">
        <f>'MM CALC'!A131</f>
        <v>9.1</v>
      </c>
      <c r="B134" s="134" t="str">
        <f>'MM CALC'!B131</f>
        <v>SEINFRA</v>
      </c>
      <c r="C134" s="164" t="str">
        <f>'MM CALC'!C131</f>
        <v>ED-50221</v>
      </c>
      <c r="D134" s="182" t="str">
        <f>'MM CALC'!D131</f>
        <v>PONTO DE ÁGUA FRIA EMBUTIDO, INCLUINDO TUBO DE PVC RÍGIDO SOLDÁVEL E CONEXÕES</v>
      </c>
      <c r="E134" s="181" t="str">
        <f>'MM CALC'!E131</f>
        <v>u</v>
      </c>
      <c r="F134" s="163">
        <f>'MM CALC'!F131</f>
        <v>18</v>
      </c>
      <c r="G134" s="198"/>
      <c r="H134" s="198"/>
      <c r="I134" s="198"/>
      <c r="K134" s="103"/>
    </row>
    <row r="135" spans="1:11" s="51" customFormat="1" ht="45" customHeight="1" x14ac:dyDescent="0.2">
      <c r="A135" s="134" t="str">
        <f>'MM CALC'!A132</f>
        <v>9.2</v>
      </c>
      <c r="B135" s="134" t="str">
        <f>'MM CALC'!B132</f>
        <v>SEINFRA</v>
      </c>
      <c r="C135" s="164" t="str">
        <f>'MM CALC'!C132</f>
        <v>ED-49989</v>
      </c>
      <c r="D135" s="182" t="str">
        <f>'MM CALC'!D132</f>
        <v>REGISTRO DE GAVETA, TIPO BASE, ROSCÁVEL 3/4" (PARA TUBO SOLDÁVEL OU PPR DN 25MM/CPVC DN 22MM), INCLUSIVE ACABAMENTO (PADRÃO MÉDIO) E CANOPLA CROMADO</v>
      </c>
      <c r="E135" s="181" t="str">
        <f>'MM CALC'!E132</f>
        <v>u</v>
      </c>
      <c r="F135" s="163">
        <f>'MM CALC'!F132</f>
        <v>18</v>
      </c>
      <c r="G135" s="198"/>
      <c r="H135" s="198"/>
      <c r="I135" s="198"/>
      <c r="K135" s="103"/>
    </row>
    <row r="136" spans="1:11" s="51" customFormat="1" ht="22.5" x14ac:dyDescent="0.2">
      <c r="A136" s="134" t="str">
        <f>'MM CALC'!A133</f>
        <v>9.3</v>
      </c>
      <c r="B136" s="134" t="str">
        <f>'MM CALC'!B133</f>
        <v>SEINFRA</v>
      </c>
      <c r="C136" s="164" t="str">
        <f>'MM CALC'!C133</f>
        <v>ED-50001</v>
      </c>
      <c r="D136" s="182" t="str">
        <f>'MM CALC'!D133</f>
        <v>REGISTRO DE ESFERA, TIPO PVC SOLDÁVEL DN 32MM (1"), INCLUSIVE VOLANTE PARA ACIONAMENTO</v>
      </c>
      <c r="E136" s="181" t="str">
        <f>'MM CALC'!E133</f>
        <v>u</v>
      </c>
      <c r="F136" s="163">
        <f>'MM CALC'!F133</f>
        <v>2</v>
      </c>
      <c r="G136" s="198"/>
      <c r="H136" s="198"/>
      <c r="I136" s="198"/>
      <c r="K136" s="103"/>
    </row>
    <row r="137" spans="1:11" s="51" customFormat="1" ht="22.5" x14ac:dyDescent="0.2">
      <c r="A137" s="134" t="str">
        <f>'MM CALC'!A134</f>
        <v>9.4</v>
      </c>
      <c r="B137" s="134" t="str">
        <f>'MM CALC'!B134</f>
        <v>SEINFRA</v>
      </c>
      <c r="C137" s="164" t="str">
        <f>'MM CALC'!C134</f>
        <v>ED-50000</v>
      </c>
      <c r="D137" s="182" t="str">
        <f>'MM CALC'!D134</f>
        <v>REGISTRO DE ESFERA, TIPO PVC SOLDÁVEL DN 25MM (3/4"), INCLUSIVE VOLANTE PARA ACIONAMENTO</v>
      </c>
      <c r="E137" s="181" t="str">
        <f>'MM CALC'!E134</f>
        <v>u</v>
      </c>
      <c r="F137" s="163">
        <f>'MM CALC'!F134</f>
        <v>1</v>
      </c>
      <c r="G137" s="198"/>
      <c r="H137" s="198"/>
      <c r="I137" s="198"/>
      <c r="K137" s="103"/>
    </row>
    <row r="138" spans="1:11" s="51" customFormat="1" ht="22.5" x14ac:dyDescent="0.2">
      <c r="A138" s="134" t="str">
        <f>'MM CALC'!A135</f>
        <v>9.5</v>
      </c>
      <c r="B138" s="134" t="str">
        <f>'MM CALC'!B135</f>
        <v>SEINFRA</v>
      </c>
      <c r="C138" s="164" t="str">
        <f>'MM CALC'!C135</f>
        <v>ED-50003</v>
      </c>
      <c r="D138" s="182" t="str">
        <f>'MM CALC'!D135</f>
        <v xml:space="preserve"> REGISTRO DE ESFERA, TIPO PVC SOLDÁVEL DN 50MM (1.1/2"),
INCLUSIVE VOLANTE PARA ACIONAMENTO</v>
      </c>
      <c r="E138" s="181" t="str">
        <f>'MM CALC'!E135</f>
        <v>u</v>
      </c>
      <c r="F138" s="163">
        <f>'MM CALC'!F135</f>
        <v>1</v>
      </c>
      <c r="G138" s="198"/>
      <c r="H138" s="198"/>
      <c r="I138" s="198"/>
      <c r="K138" s="103"/>
    </row>
    <row r="139" spans="1:11" s="51" customFormat="1" ht="33.75" x14ac:dyDescent="0.2">
      <c r="A139" s="134" t="str">
        <f>'MM CALC'!A136</f>
        <v>9.6</v>
      </c>
      <c r="B139" s="134" t="str">
        <f>'MM CALC'!B136</f>
        <v>SEINFRA</v>
      </c>
      <c r="C139" s="164" t="str">
        <f>'MM CALC'!C136</f>
        <v>ED-49965</v>
      </c>
      <c r="D139" s="182" t="str">
        <f>'MM CALC'!D136</f>
        <v>REGISTRO DE PRESSÃO, TIPO BASE, ROSCÁVEL 3/4" (PARA TUBO SOLDÁVEL OU PPR DN 25MM/CPVC DN 22MM), INCLUSIVE ACABAMENTO (PADRÃO MÉDIO) E CANOPLA CROMADOS</v>
      </c>
      <c r="E139" s="181" t="str">
        <f>'MM CALC'!E136</f>
        <v>u</v>
      </c>
      <c r="F139" s="163">
        <f>'MM CALC'!F136</f>
        <v>3</v>
      </c>
      <c r="G139" s="198"/>
      <c r="H139" s="198"/>
      <c r="I139" s="198"/>
      <c r="K139" s="103"/>
    </row>
    <row r="140" spans="1:11" s="51" customFormat="1" ht="22.5" x14ac:dyDescent="0.2">
      <c r="A140" s="134" t="str">
        <f>'MM CALC'!A137</f>
        <v>9.7</v>
      </c>
      <c r="B140" s="134" t="str">
        <f>'MM CALC'!B137</f>
        <v>SEINFRA</v>
      </c>
      <c r="C140" s="164" t="str">
        <f>'MM CALC'!C137</f>
        <v>ED-49845</v>
      </c>
      <c r="D140" s="182" t="str">
        <f>'MM CALC'!D137</f>
        <v>ADAPTADOR SOLDÁVEL DE PVC MARROM COM FLANGES E ANEL PARA CAIXA DÁGUA Ø 25 MM X 3/4"</v>
      </c>
      <c r="E140" s="181" t="str">
        <f>'MM CALC'!E137</f>
        <v>u</v>
      </c>
      <c r="F140" s="163">
        <f>'MM CALC'!F137</f>
        <v>1</v>
      </c>
      <c r="G140" s="198"/>
      <c r="H140" s="198"/>
      <c r="I140" s="198"/>
      <c r="K140" s="103"/>
    </row>
    <row r="141" spans="1:11" s="51" customFormat="1" ht="22.5" x14ac:dyDescent="0.2">
      <c r="A141" s="134" t="str">
        <f>'MM CALC'!A138</f>
        <v>9.8</v>
      </c>
      <c r="B141" s="134" t="str">
        <f>'MM CALC'!B138</f>
        <v>SEINFRA</v>
      </c>
      <c r="C141" s="164" t="str">
        <f>'MM CALC'!C138</f>
        <v>ED-49846</v>
      </c>
      <c r="D141" s="182" t="str">
        <f>'MM CALC'!D138</f>
        <v>ADAPTADOR SOLDÁVEL DE PVC MARROM COM FLANGES E ANEL PARA CAIXA DÁGUA Ø 32 MM X 1"</v>
      </c>
      <c r="E141" s="181" t="str">
        <f>'MM CALC'!E138</f>
        <v>u</v>
      </c>
      <c r="F141" s="163">
        <f>'MM CALC'!F138</f>
        <v>2</v>
      </c>
      <c r="G141" s="198"/>
      <c r="H141" s="198"/>
      <c r="I141" s="198"/>
      <c r="K141" s="103"/>
    </row>
    <row r="142" spans="1:11" s="51" customFormat="1" ht="33.75" x14ac:dyDescent="0.2">
      <c r="A142" s="134" t="str">
        <f>'MM CALC'!A139</f>
        <v>9.9</v>
      </c>
      <c r="B142" s="134" t="str">
        <f>'MM CALC'!B139</f>
        <v>SEINFRA</v>
      </c>
      <c r="C142" s="164" t="str">
        <f>'MM CALC'!C139</f>
        <v>ED-49848</v>
      </c>
      <c r="D142" s="182" t="str">
        <f>'MM CALC'!D139</f>
        <v xml:space="preserve"> ADAPTADOR SOLDÁVEL DE PVC MARROM COM FLANGES E ANEL
PARA CAIXA DÁGUA Ø 50 MM X 1 1/2"</v>
      </c>
      <c r="E142" s="181" t="str">
        <f>'MM CALC'!E139</f>
        <v>u</v>
      </c>
      <c r="F142" s="163">
        <f>'MM CALC'!F139</f>
        <v>2</v>
      </c>
      <c r="G142" s="198"/>
      <c r="H142" s="198"/>
      <c r="I142" s="198"/>
      <c r="K142" s="103"/>
    </row>
    <row r="143" spans="1:11" s="51" customFormat="1" ht="45" x14ac:dyDescent="0.2">
      <c r="A143" s="134" t="str">
        <f>'MM CALC'!A140</f>
        <v>9.10</v>
      </c>
      <c r="B143" s="134" t="str">
        <f>'MM CALC'!B140</f>
        <v>SEINFRA</v>
      </c>
      <c r="C143" s="164" t="str">
        <f>'MM CALC'!C140</f>
        <v>ED-29742</v>
      </c>
      <c r="D143" s="182" t="str">
        <f>'MM CALC'!D140</f>
        <v>CAIXA D´ÁGUA DE POLIETILENO, CAPACIDADE DE 5.000L, INCLUSIVE TAMPA, TORNEIRA DE BOIA, EXTRAVASOR, TUBO DE LIMPEZA E ACESSÓRIOS, EXCLUSIVE TUBULAÇÃO DE ENTRADA/ SAÍDA DE ÁGUA</v>
      </c>
      <c r="E143" s="181" t="str">
        <f>'MM CALC'!E140</f>
        <v>u</v>
      </c>
      <c r="F143" s="163">
        <f>'MM CALC'!F140</f>
        <v>1</v>
      </c>
      <c r="G143" s="198"/>
      <c r="H143" s="198"/>
      <c r="I143" s="198"/>
      <c r="K143" s="103"/>
    </row>
    <row r="144" spans="1:11" s="51" customFormat="1" ht="22.5" x14ac:dyDescent="0.2">
      <c r="A144" s="134" t="str">
        <f>'MM CALC'!A141</f>
        <v>9.11</v>
      </c>
      <c r="B144" s="134" t="str">
        <f>'MM CALC'!B141</f>
        <v>SEINFRA</v>
      </c>
      <c r="C144" s="164" t="str">
        <f>'MM CALC'!C141</f>
        <v>ED-50020</v>
      </c>
      <c r="D144" s="182" t="str">
        <f>'MM CALC'!D141</f>
        <v>FORNECIMENTO E ASSENTAMENTO DE TUBO PVC RÍGIDO SOLDÁVEL, ÁGUA FRIA, DN 32 MM (1") , INCLUSIVE CONEXÕES</v>
      </c>
      <c r="E144" s="181" t="str">
        <f>'MM CALC'!E141</f>
        <v>m</v>
      </c>
      <c r="F144" s="163">
        <f>'MM CALC'!F141</f>
        <v>35</v>
      </c>
      <c r="G144" s="198"/>
      <c r="H144" s="198"/>
      <c r="I144" s="198"/>
      <c r="K144" s="103"/>
    </row>
    <row r="145" spans="1:11" s="51" customFormat="1" ht="22.5" x14ac:dyDescent="0.2">
      <c r="A145" s="134" t="str">
        <f>'MM CALC'!A142</f>
        <v>9.12</v>
      </c>
      <c r="B145" s="134" t="str">
        <f>'MM CALC'!B142</f>
        <v>SEINFRA</v>
      </c>
      <c r="C145" s="164" t="str">
        <f>'MM CALC'!C142</f>
        <v>ED-50225</v>
      </c>
      <c r="D145" s="182" t="str">
        <f>'MM CALC'!D142</f>
        <v>PONTO DE ESGOTO, INCLUINDO TUBO DE PVC RÍGIDO SOLDÁVEL DE 100 MM E CONEXÕES (VASO SANITÁRIO)</v>
      </c>
      <c r="E145" s="181" t="str">
        <f>'MM CALC'!E142</f>
        <v>u</v>
      </c>
      <c r="F145" s="163">
        <f>'MM CALC'!F142</f>
        <v>5</v>
      </c>
      <c r="G145" s="198"/>
      <c r="H145" s="198"/>
      <c r="I145" s="198"/>
      <c r="K145" s="103"/>
    </row>
    <row r="146" spans="1:11" s="51" customFormat="1" ht="33.75" x14ac:dyDescent="0.2">
      <c r="A146" s="134" t="str">
        <f>'MM CALC'!A143</f>
        <v>9.13</v>
      </c>
      <c r="B146" s="134" t="str">
        <f>'MM CALC'!B143</f>
        <v>SEINFRA</v>
      </c>
      <c r="C146" s="164" t="str">
        <f>'MM CALC'!C143</f>
        <v>ED-50223</v>
      </c>
      <c r="D146" s="182" t="str">
        <f>'MM CALC'!D143</f>
        <v>PONTO DE ESGOTO, INCLUINDO TUBO DE PVC RÍGIDO SOLDÁVEL DE 40 MM E CONEXÕES (LAVATÓRIOS, MICTÓRIOS, RALOS SIFONADOS, ETC.)</v>
      </c>
      <c r="E146" s="181" t="str">
        <f>'MM CALC'!E143</f>
        <v>u</v>
      </c>
      <c r="F146" s="163">
        <f>'MM CALC'!F143</f>
        <v>16</v>
      </c>
      <c r="G146" s="198"/>
      <c r="H146" s="198"/>
      <c r="I146" s="198"/>
      <c r="K146" s="103"/>
    </row>
    <row r="147" spans="1:11" s="51" customFormat="1" ht="33.75" x14ac:dyDescent="0.2">
      <c r="A147" s="134" t="str">
        <f>'MM CALC'!A144</f>
        <v>9.14</v>
      </c>
      <c r="B147" s="134" t="str">
        <f>'MM CALC'!B144</f>
        <v>SEINFRA</v>
      </c>
      <c r="C147" s="164" t="str">
        <f>'MM CALC'!C144</f>
        <v>ED-50224</v>
      </c>
      <c r="D147" s="182" t="str">
        <f>'MM CALC'!D144</f>
        <v>PONTO DE ESGOTO, INCLUINDO TUBO DE PVC RÍGIDO SOLDÁVEL DE 50 MM E CONEXÕES (PIAS DE COZINHA, MÁQUINAS DE LAVAR, ETC.)</v>
      </c>
      <c r="E147" s="181" t="str">
        <f>'MM CALC'!E144</f>
        <v>u</v>
      </c>
      <c r="F147" s="163">
        <f>'MM CALC'!F144</f>
        <v>1</v>
      </c>
      <c r="G147" s="198"/>
      <c r="H147" s="198"/>
      <c r="I147" s="198"/>
      <c r="K147" s="103"/>
    </row>
    <row r="148" spans="1:11" s="51" customFormat="1" ht="33.75" x14ac:dyDescent="0.2">
      <c r="A148" s="134" t="str">
        <f>'MM CALC'!A145</f>
        <v>9.15</v>
      </c>
      <c r="B148" s="134" t="str">
        <f>'MM CALC'!B145</f>
        <v>SEINFRA</v>
      </c>
      <c r="C148" s="164" t="str">
        <f>'MM CALC'!C145</f>
        <v>ED-8845</v>
      </c>
      <c r="D148" s="182" t="str">
        <f>'MM CALC'!D145</f>
        <v>FORNECIMENTO E ASSENTAMENTO DE TUBO PVC RÍGIDO, VENTILAÇÃO, PBV - SÉRIE NORMAL, DN 50 MM (2"), INCLUSIVE CONEXÕES</v>
      </c>
      <c r="E148" s="181" t="str">
        <f>'MM CALC'!E145</f>
        <v>m</v>
      </c>
      <c r="F148" s="163">
        <f>'MM CALC'!F145</f>
        <v>35</v>
      </c>
      <c r="G148" s="198"/>
      <c r="H148" s="198"/>
      <c r="I148" s="198"/>
      <c r="K148" s="103"/>
    </row>
    <row r="149" spans="1:11" s="51" customFormat="1" ht="11.25" x14ac:dyDescent="0.2">
      <c r="A149" s="134" t="str">
        <f>'MM CALC'!A146</f>
        <v>9.16</v>
      </c>
      <c r="B149" s="134" t="str">
        <f>'MM CALC'!B146</f>
        <v>SEINFRA</v>
      </c>
      <c r="C149" s="164" t="str">
        <f>'MM CALC'!C146</f>
        <v>ED-49939</v>
      </c>
      <c r="D149" s="182" t="str">
        <f>'MM CALC'!D146</f>
        <v>CAIXA DE GORDURA PRÉ-FABRICADA SIMPLES VOL. 31 LITROS</v>
      </c>
      <c r="E149" s="181" t="str">
        <f>'MM CALC'!E146</f>
        <v>u</v>
      </c>
      <c r="F149" s="163">
        <f>'MM CALC'!F146</f>
        <v>1</v>
      </c>
      <c r="G149" s="198"/>
      <c r="H149" s="198"/>
      <c r="I149" s="198"/>
      <c r="K149" s="103"/>
    </row>
    <row r="150" spans="1:11" s="51" customFormat="1" ht="33.75" x14ac:dyDescent="0.2">
      <c r="A150" s="134" t="str">
        <f>'MM CALC'!A147</f>
        <v>9.17</v>
      </c>
      <c r="B150" s="134" t="str">
        <f>'MM CALC'!B147</f>
        <v>SEINFRA</v>
      </c>
      <c r="C150" s="164" t="str">
        <f>'MM CALC'!C147</f>
        <v>ED-50007</v>
      </c>
      <c r="D150" s="182" t="str">
        <f>'MM CALC'!D147</f>
        <v xml:space="preserve"> CAIXA SIFONADA EM PVC COM GRELHA QUADRADA150 X 150 X 50
MM</v>
      </c>
      <c r="E150" s="181" t="str">
        <f>'MM CALC'!E147</f>
        <v>u</v>
      </c>
      <c r="F150" s="163">
        <f>'MM CALC'!F147</f>
        <v>12</v>
      </c>
      <c r="G150" s="198"/>
      <c r="H150" s="198"/>
      <c r="I150" s="198"/>
      <c r="K150" s="103"/>
    </row>
    <row r="151" spans="1:11" s="51" customFormat="1" ht="56.25" x14ac:dyDescent="0.2">
      <c r="A151" s="134" t="str">
        <f>'MM CALC'!A148</f>
        <v>9.18</v>
      </c>
      <c r="B151" s="134" t="str">
        <f>'MM CALC'!B148</f>
        <v>SEINFRA</v>
      </c>
      <c r="C151" s="164" t="str">
        <f>'MM CALC'!C148</f>
        <v>ED-49887</v>
      </c>
      <c r="D151" s="182" t="str">
        <f>'MM CALC'!D148</f>
        <v>CAIXA DE ESGOTO DE INSPEÇÃO/PASSAGEM EM ALVENARIA (60X60X80CM), REVESTIMENTO EM ARGAMASSA COM ADITIVO IMPERMEABILIZANTE, COM TAMPA DE CONCRETO, INCLUSIVE ESCAVAÇÃO, REATERRO E TRANSPORTE E RETIRADA DO MATERIAL ESCAVADO (EM CAÇAMBA)</v>
      </c>
      <c r="E151" s="181" t="str">
        <f>'MM CALC'!E148</f>
        <v>u</v>
      </c>
      <c r="F151" s="163">
        <f>'MM CALC'!F148</f>
        <v>5</v>
      </c>
      <c r="G151" s="198"/>
      <c r="H151" s="198"/>
      <c r="I151" s="198"/>
      <c r="K151" s="103"/>
    </row>
    <row r="152" spans="1:11" s="51" customFormat="1" ht="35.25" customHeight="1" x14ac:dyDescent="0.2">
      <c r="A152" s="134" t="str">
        <f>'MM CALC'!A149</f>
        <v>9.19</v>
      </c>
      <c r="B152" s="134" t="str">
        <f>'MM CALC'!B149</f>
        <v>SEINFRA</v>
      </c>
      <c r="C152" s="164" t="str">
        <f>'MM CALC'!C149</f>
        <v>ED-50105</v>
      </c>
      <c r="D152" s="182" t="str">
        <f>'MM CALC'!D149</f>
        <v>FORNECIMENTO E ASSENTAMENTO DE TUBO PVC RÍGIDO, COLETOR DE ESGOTO LISO (JEI), DN 100 MM (4"), INCLUSIVE CONEXÕES</v>
      </c>
      <c r="E152" s="181" t="str">
        <f>'MM CALC'!E149</f>
        <v>m</v>
      </c>
      <c r="F152" s="163">
        <f>'MM CALC'!F149</f>
        <v>60</v>
      </c>
      <c r="G152" s="197"/>
      <c r="H152" s="198"/>
      <c r="I152" s="198"/>
      <c r="K152" s="103"/>
    </row>
    <row r="153" spans="1:11" s="56" customFormat="1" ht="11.25" x14ac:dyDescent="0.2">
      <c r="A153" s="135">
        <f>'MM CALC'!A150</f>
        <v>10</v>
      </c>
      <c r="B153" s="135"/>
      <c r="C153" s="156"/>
      <c r="D153" s="212" t="str">
        <f>'MM CALC'!D150</f>
        <v>INSTALAÇÃO DE REDE ESTRUTURADA</v>
      </c>
      <c r="E153" s="161"/>
      <c r="F153" s="208"/>
      <c r="G153" s="138"/>
      <c r="H153" s="138"/>
      <c r="I153" s="201"/>
      <c r="K153" s="102"/>
    </row>
    <row r="154" spans="1:11" s="51" customFormat="1" ht="22.5" x14ac:dyDescent="0.2">
      <c r="A154" s="134" t="str">
        <f>'MM CALC'!A151</f>
        <v>10.1</v>
      </c>
      <c r="B154" s="134" t="str">
        <f>'MM CALC'!B151</f>
        <v>SEINFRA</v>
      </c>
      <c r="C154" s="164" t="str">
        <f>'MM CALC'!C151</f>
        <v>ED-48365</v>
      </c>
      <c r="D154" s="182" t="str">
        <f>'MM CALC'!D151</f>
        <v>CABO UTP 4 PARES CATEGORIA 6 COM REVESTIMENTO EXTERNO NÃO PROPAGANTE A CHAMA</v>
      </c>
      <c r="E154" s="181" t="str">
        <f>'MM CALC'!E151</f>
        <v>m</v>
      </c>
      <c r="F154" s="163">
        <f>'MM CALC'!F151</f>
        <v>86</v>
      </c>
      <c r="G154" s="197"/>
      <c r="H154" s="198"/>
      <c r="I154" s="198"/>
      <c r="K154" s="103"/>
    </row>
    <row r="155" spans="1:11" s="51" customFormat="1" ht="11.25" x14ac:dyDescent="0.2">
      <c r="A155" s="134" t="str">
        <f>'MM CALC'!A152</f>
        <v>10.2</v>
      </c>
      <c r="B155" s="134" t="str">
        <f>'MM CALC'!B152</f>
        <v>SEINFRA</v>
      </c>
      <c r="C155" s="164" t="str">
        <f>'MM CALC'!C152</f>
        <v>ED-48363</v>
      </c>
      <c r="D155" s="182" t="str">
        <f>'MM CALC'!D152</f>
        <v>CABO COAXIAL RG-59-75 OHMS</v>
      </c>
      <c r="E155" s="181" t="str">
        <f>'MM CALC'!E152</f>
        <v>m</v>
      </c>
      <c r="F155" s="163">
        <f>'MM CALC'!F152</f>
        <v>86</v>
      </c>
      <c r="G155" s="197"/>
      <c r="H155" s="198"/>
      <c r="I155" s="198"/>
      <c r="K155" s="103"/>
    </row>
    <row r="156" spans="1:11" s="51" customFormat="1" ht="42" customHeight="1" x14ac:dyDescent="0.2">
      <c r="A156" s="134" t="str">
        <f>'MM CALC'!A153</f>
        <v>10.3</v>
      </c>
      <c r="B156" s="134" t="str">
        <f>'MM CALC'!B153</f>
        <v>SEINFRA</v>
      </c>
      <c r="C156" s="164" t="str">
        <f>'MM CALC'!C153</f>
        <v>ED-15762</v>
      </c>
      <c r="D156" s="182" t="str">
        <f>'MM CALC'!D153</f>
        <v>CONJUNTO DE DUAS (2) TOMADAS DE DADOS (CONECTOR RJ45
CAT.6E), COM PLACA 4"X2" DE DOIS (2) POSTOS, INCLUSIVE
FORNECIMENTO, INSTALAÇÃO, SUPORTE, MÓDULO E PLACA</v>
      </c>
      <c r="E156" s="181" t="str">
        <f>'MM CALC'!E153</f>
        <v xml:space="preserve">un </v>
      </c>
      <c r="F156" s="163">
        <f>'MM CALC'!F153</f>
        <v>8</v>
      </c>
      <c r="G156" s="197"/>
      <c r="H156" s="198"/>
      <c r="I156" s="198"/>
      <c r="K156" s="103"/>
    </row>
    <row r="157" spans="1:11" s="51" customFormat="1" ht="33.75" x14ac:dyDescent="0.2">
      <c r="A157" s="134" t="str">
        <f>'MM CALC'!A154</f>
        <v>10.4</v>
      </c>
      <c r="B157" s="134" t="str">
        <f>'MM CALC'!B154</f>
        <v>SEINFRA</v>
      </c>
      <c r="C157" s="164" t="str">
        <f>'MM CALC'!C154</f>
        <v>ED-15795</v>
      </c>
      <c r="D157" s="182" t="str">
        <f>'MM CALC'!D154</f>
        <v>CONJUNTO DE DUAS (2) TOMADAS TELEFÔNICAS (CONECTOR RJ11), COM PLACA 4"X4" DE DOIS (2) POSTOS, INCLUSIVE FORNECIMENTO, INSTALAÇÃO, SUPORTE, MÓDULO E PLACA</v>
      </c>
      <c r="E157" s="181" t="str">
        <f>'MM CALC'!E154</f>
        <v xml:space="preserve">un </v>
      </c>
      <c r="F157" s="163">
        <f>'MM CALC'!F154</f>
        <v>2</v>
      </c>
      <c r="G157" s="197"/>
      <c r="H157" s="198"/>
      <c r="I157" s="198"/>
      <c r="K157" s="103"/>
    </row>
    <row r="158" spans="1:11" s="51" customFormat="1" ht="33.75" x14ac:dyDescent="0.2">
      <c r="A158" s="134" t="str">
        <f>'MM CALC'!A155</f>
        <v>10.5</v>
      </c>
      <c r="B158" s="134" t="str">
        <f>'MM CALC'!B155</f>
        <v>SEINFRA</v>
      </c>
      <c r="C158" s="164" t="str">
        <f>'MM CALC'!C155</f>
        <v>ED-15753</v>
      </c>
      <c r="D158" s="182" t="str">
        <f>'MM CALC'!D155</f>
        <v>CONJUNTO DE UMA (1) TOMADA DE ANTENA (CONECTOR COAXIAL), COM PLACA 4"X2" DE UM (1) POSTO, INCLUSIVE FORNECIMENTO, INSTALAÇÃO, SUPORTE, MÓDULO E PLACA</v>
      </c>
      <c r="E158" s="181" t="str">
        <f>'MM CALC'!E155</f>
        <v xml:space="preserve">un </v>
      </c>
      <c r="F158" s="163">
        <f>'MM CALC'!F155</f>
        <v>8</v>
      </c>
      <c r="G158" s="197"/>
      <c r="H158" s="198"/>
      <c r="I158" s="198"/>
      <c r="K158" s="103"/>
    </row>
    <row r="159" spans="1:11" s="51" customFormat="1" ht="33.75" x14ac:dyDescent="0.2">
      <c r="A159" s="134" t="str">
        <f>'MM CALC'!A156</f>
        <v>10.6</v>
      </c>
      <c r="B159" s="134" t="str">
        <f>'MM CALC'!B156</f>
        <v>SEINFRA</v>
      </c>
      <c r="C159" s="164" t="str">
        <f>'MM CALC'!C156</f>
        <v>ED-49168</v>
      </c>
      <c r="D159" s="182" t="str">
        <f>'MM CALC'!D156</f>
        <v>CAIXA DE PASSAGEM EM ALVENARIA E TAMPA DE CONCRETO, FUNDO DE BRITA, TIPO 1, 30 X 30 X 40 CM, INCLUSIVE ESCAVAÇÃO, REATERRO E BOTA-FORA</v>
      </c>
      <c r="E159" s="181" t="str">
        <f>'MM CALC'!E156</f>
        <v xml:space="preserve">un </v>
      </c>
      <c r="F159" s="163">
        <f>'MM CALC'!F156</f>
        <v>2</v>
      </c>
      <c r="G159" s="197"/>
      <c r="H159" s="198"/>
      <c r="I159" s="198"/>
      <c r="K159" s="103"/>
    </row>
    <row r="160" spans="1:11" s="51" customFormat="1" ht="22.5" x14ac:dyDescent="0.2">
      <c r="A160" s="134" t="str">
        <f>'MM CALC'!A157</f>
        <v>10.7</v>
      </c>
      <c r="B160" s="134" t="str">
        <f>'MM CALC'!B157</f>
        <v>SEINFRA</v>
      </c>
      <c r="C160" s="164" t="str">
        <f>'MM CALC'!C157</f>
        <v>ED-49215</v>
      </c>
      <c r="D160" s="182" t="str">
        <f>'MM CALC'!D157</f>
        <v xml:space="preserve">CAIXA DE PASSAGEM 20 x 20 CM EM CHAPA DE FERRO COM
TAMPA CEGA PARA TV 20x20x10cm       </v>
      </c>
      <c r="E160" s="181" t="str">
        <f>'MM CALC'!E157</f>
        <v xml:space="preserve">un </v>
      </c>
      <c r="F160" s="163">
        <f>'MM CALC'!F157</f>
        <v>2</v>
      </c>
      <c r="G160" s="197"/>
      <c r="H160" s="198"/>
      <c r="I160" s="198"/>
      <c r="K160" s="103"/>
    </row>
    <row r="161" spans="1:11" s="51" customFormat="1" ht="22.5" x14ac:dyDescent="0.2">
      <c r="A161" s="134" t="str">
        <f>'MM CALC'!A158</f>
        <v>10.8</v>
      </c>
      <c r="B161" s="134" t="str">
        <f>'MM CALC'!B158</f>
        <v>SEINFRA</v>
      </c>
      <c r="C161" s="164" t="str">
        <f>'MM CALC'!C158</f>
        <v>ED-49415</v>
      </c>
      <c r="D161" s="182" t="str">
        <f>'MM CALC'!D158</f>
        <v>ELETRODUTO FLEXÍVEL CORRUGADO, PVC, ANTI-CHAMA, DN 32MM (1"), APLICADO EM ALVENARIA, INCLUSIVE RASGO</v>
      </c>
      <c r="E161" s="181" t="str">
        <f>'MM CALC'!E158</f>
        <v>m</v>
      </c>
      <c r="F161" s="163">
        <f>'MM CALC'!F158</f>
        <v>45</v>
      </c>
      <c r="G161" s="197"/>
      <c r="H161" s="198"/>
      <c r="I161" s="198"/>
      <c r="K161" s="103"/>
    </row>
    <row r="162" spans="1:11" s="56" customFormat="1" ht="11.25" x14ac:dyDescent="0.2">
      <c r="A162" s="135">
        <f>'MM CALC'!A159</f>
        <v>11</v>
      </c>
      <c r="B162" s="135"/>
      <c r="C162" s="156"/>
      <c r="D162" s="212" t="str">
        <f>'MM CALC'!D159</f>
        <v>LIMPEZA DE OBRA</v>
      </c>
      <c r="E162" s="213"/>
      <c r="F162" s="214"/>
      <c r="G162" s="138"/>
      <c r="H162" s="193"/>
      <c r="I162" s="200"/>
      <c r="K162" s="102"/>
    </row>
    <row r="163" spans="1:11" s="51" customFormat="1" ht="11.25" x14ac:dyDescent="0.2">
      <c r="A163" s="134" t="str">
        <f>'MM CALC'!A160</f>
        <v>11.1</v>
      </c>
      <c r="B163" s="134" t="str">
        <f>'MM CALC'!B160</f>
        <v>SEINFRA</v>
      </c>
      <c r="C163" s="164" t="str">
        <f>'MM CALC'!C160</f>
        <v>ED-50266</v>
      </c>
      <c r="D163" s="182" t="str">
        <f>'MM CALC'!D160</f>
        <v>LIMPEZA FINAL PARA ENTREGA DA OBRA</v>
      </c>
      <c r="E163" s="181" t="str">
        <f>'MM CALC'!E160</f>
        <v>m²</v>
      </c>
      <c r="F163" s="163">
        <f>'MM CALC'!F160</f>
        <v>700.54</v>
      </c>
      <c r="G163" s="197"/>
      <c r="H163" s="198"/>
      <c r="I163" s="198"/>
      <c r="K163" s="103"/>
    </row>
    <row r="164" spans="1:11" x14ac:dyDescent="0.2">
      <c r="A164" s="194"/>
      <c r="B164" s="126"/>
      <c r="C164" s="126"/>
      <c r="D164" s="182"/>
      <c r="E164" s="181"/>
      <c r="F164" s="195"/>
      <c r="G164" s="195"/>
      <c r="H164" s="195"/>
      <c r="I164" s="196"/>
    </row>
    <row r="165" spans="1:11" x14ac:dyDescent="0.2">
      <c r="A165" s="26"/>
      <c r="D165" s="205"/>
      <c r="E165" s="206"/>
      <c r="F165" s="57"/>
      <c r="G165" s="57"/>
      <c r="H165" s="57"/>
      <c r="I165" s="58"/>
    </row>
    <row r="166" spans="1:11" x14ac:dyDescent="0.2">
      <c r="A166" s="26"/>
      <c r="D166" s="207"/>
      <c r="E166" s="57"/>
      <c r="F166" s="57"/>
      <c r="G166" s="57"/>
      <c r="H166" s="57"/>
      <c r="I166" s="58"/>
    </row>
    <row r="167" spans="1:11" x14ac:dyDescent="0.2">
      <c r="A167" s="26"/>
      <c r="D167" s="27"/>
      <c r="E167" s="57"/>
      <c r="F167" s="57"/>
      <c r="G167" s="57"/>
      <c r="H167" s="57"/>
      <c r="I167" s="58"/>
    </row>
    <row r="168" spans="1:11" x14ac:dyDescent="0.2">
      <c r="A168" s="26"/>
      <c r="D168" s="27"/>
      <c r="E168" s="57"/>
      <c r="F168" s="57"/>
      <c r="G168" s="57"/>
      <c r="H168" s="57"/>
      <c r="I168" s="58"/>
    </row>
    <row r="169" spans="1:11" x14ac:dyDescent="0.2">
      <c r="A169" s="26"/>
      <c r="D169" s="27"/>
      <c r="E169" s="57"/>
      <c r="F169" s="57"/>
      <c r="G169" s="57"/>
      <c r="H169" s="57"/>
      <c r="I169" s="58"/>
    </row>
    <row r="170" spans="1:11" x14ac:dyDescent="0.2">
      <c r="A170" s="25"/>
      <c r="B170" s="17"/>
      <c r="C170" s="17"/>
      <c r="D170" s="27"/>
      <c r="E170" s="57"/>
      <c r="F170" s="57"/>
      <c r="G170" s="57"/>
      <c r="H170" s="57"/>
      <c r="I170" s="58"/>
    </row>
    <row r="171" spans="1:11" x14ac:dyDescent="0.2">
      <c r="A171" s="261"/>
      <c r="B171" s="262"/>
      <c r="C171" s="262"/>
      <c r="D171" s="124"/>
      <c r="E171" s="63"/>
      <c r="F171" s="62"/>
      <c r="G171" s="124"/>
      <c r="H171" s="89"/>
      <c r="I171" s="58"/>
    </row>
    <row r="172" spans="1:11" x14ac:dyDescent="0.2">
      <c r="A172" s="261"/>
      <c r="B172" s="262"/>
      <c r="C172" s="262"/>
      <c r="D172" s="61"/>
      <c r="E172" s="63"/>
      <c r="F172" s="62"/>
      <c r="G172" s="90"/>
      <c r="H172" s="89"/>
      <c r="I172" s="58"/>
    </row>
    <row r="173" spans="1:11" x14ac:dyDescent="0.2">
      <c r="A173" s="263"/>
      <c r="B173" s="264"/>
      <c r="C173" s="264"/>
      <c r="D173" s="91"/>
      <c r="E173" s="63"/>
      <c r="F173" s="62"/>
      <c r="G173" s="91"/>
      <c r="H173" s="89"/>
      <c r="I173" s="58"/>
    </row>
    <row r="174" spans="1:11" x14ac:dyDescent="0.2">
      <c r="A174" s="107"/>
      <c r="B174" s="108"/>
      <c r="C174" s="108"/>
      <c r="D174" s="27"/>
      <c r="E174" s="57"/>
      <c r="F174" s="57"/>
      <c r="G174" s="57"/>
      <c r="H174" s="57"/>
      <c r="I174" s="58"/>
    </row>
    <row r="175" spans="1:11" x14ac:dyDescent="0.2">
      <c r="A175" s="25"/>
      <c r="B175" s="17"/>
      <c r="C175" s="17"/>
      <c r="D175" s="27"/>
      <c r="E175" s="57"/>
      <c r="F175" s="57"/>
      <c r="G175" s="57"/>
      <c r="H175" s="57"/>
      <c r="I175" s="58"/>
    </row>
    <row r="176" spans="1:11" x14ac:dyDescent="0.2">
      <c r="A176" s="22"/>
      <c r="B176" s="23"/>
      <c r="C176" s="23"/>
      <c r="D176" s="24"/>
      <c r="E176" s="59"/>
      <c r="F176" s="59"/>
      <c r="G176" s="59"/>
      <c r="H176" s="59"/>
      <c r="I176" s="60"/>
    </row>
    <row r="177" spans="9:9" x14ac:dyDescent="0.2">
      <c r="I177" s="92"/>
    </row>
  </sheetData>
  <autoFilter ref="A10:I163" xr:uid="{00000000-0009-0000-0000-000000000000}"/>
  <mergeCells count="11">
    <mergeCell ref="A172:C172"/>
    <mergeCell ref="A173:C173"/>
    <mergeCell ref="A171:C171"/>
    <mergeCell ref="I6:I8"/>
    <mergeCell ref="A7:D8"/>
    <mergeCell ref="G43:I43"/>
    <mergeCell ref="A2:I2"/>
    <mergeCell ref="E6:F6"/>
    <mergeCell ref="E5:I5"/>
    <mergeCell ref="G6:H7"/>
    <mergeCell ref="A6:D6"/>
  </mergeCells>
  <phoneticPr fontId="21" type="noConversion"/>
  <conditionalFormatting sqref="C15">
    <cfRule type="expression" dxfId="3" priority="1" stopIfTrue="1">
      <formula>OR(#REF!="M",#REF!="A")</formula>
    </cfRule>
  </conditionalFormatting>
  <conditionalFormatting sqref="C24:C163">
    <cfRule type="expression" dxfId="2" priority="146" stopIfTrue="1">
      <formula>OR(#REF!="M",#REF!="A")</formula>
    </cfRule>
  </conditionalFormatting>
  <printOptions horizontalCentered="1"/>
  <pageMargins left="0.78740157480314965" right="0.39370078740157483" top="0.98425196850393704" bottom="0.98425196850393704" header="0.51181102362204722" footer="0.51181102362204722"/>
  <pageSetup paperSize="9" scale="65" fitToHeight="0" orientation="portrait" horizontalDpi="4294967293" r:id="rId1"/>
  <headerFooter alignWithMargins="0">
    <oddFooter>&amp;C
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I183"/>
  <sheetViews>
    <sheetView showGridLines="0" view="pageBreakPreview" zoomScaleNormal="75" zoomScaleSheetLayoutView="100" workbookViewId="0">
      <pane ySplit="7" topLeftCell="A155" activePane="bottomLeft" state="frozen"/>
      <selection pane="bottomLeft" activeCell="G170" sqref="D163:G170"/>
    </sheetView>
  </sheetViews>
  <sheetFormatPr defaultColWidth="9.140625" defaultRowHeight="12.75" x14ac:dyDescent="0.2"/>
  <cols>
    <col min="1" max="1" width="7.140625" style="68" customWidth="1"/>
    <col min="2" max="2" width="10.140625" style="64" bestFit="1" customWidth="1"/>
    <col min="3" max="3" width="9.5703125" style="64" customWidth="1"/>
    <col min="4" max="4" width="60.85546875" style="14" bestFit="1" customWidth="1"/>
    <col min="5" max="5" width="7.42578125" style="64" customWidth="1"/>
    <col min="6" max="6" width="8.42578125" style="69" bestFit="1" customWidth="1"/>
    <col min="7" max="7" width="66.140625" style="19" customWidth="1"/>
    <col min="8" max="8" width="9.140625" style="128"/>
    <col min="9" max="9" width="52.5703125" style="127" bestFit="1" customWidth="1"/>
    <col min="10" max="16384" width="9.140625" style="19"/>
  </cols>
  <sheetData>
    <row r="1" spans="1:9" x14ac:dyDescent="0.2">
      <c r="A1" s="279" t="s">
        <v>50</v>
      </c>
      <c r="B1" s="280"/>
      <c r="C1" s="280"/>
      <c r="D1" s="280"/>
      <c r="E1" s="280"/>
      <c r="F1" s="280"/>
      <c r="G1" s="281"/>
    </row>
    <row r="2" spans="1:9" ht="5.0999999999999996" customHeight="1" x14ac:dyDescent="0.2">
      <c r="A2" s="65"/>
      <c r="B2" s="38"/>
      <c r="C2" s="38"/>
      <c r="D2" s="18"/>
      <c r="E2" s="38"/>
      <c r="F2" s="38"/>
      <c r="G2" s="28"/>
    </row>
    <row r="3" spans="1:9" s="13" customFormat="1" x14ac:dyDescent="0.2">
      <c r="A3" s="16" t="s">
        <v>535</v>
      </c>
      <c r="B3" s="2"/>
      <c r="C3" s="2"/>
      <c r="D3" s="70"/>
      <c r="E3" s="44" t="s">
        <v>560</v>
      </c>
      <c r="F3" s="111"/>
      <c r="G3" s="9"/>
      <c r="H3" s="128"/>
      <c r="I3" s="127"/>
    </row>
    <row r="4" spans="1:9" s="13" customFormat="1" x14ac:dyDescent="0.2">
      <c r="A4" s="16" t="s">
        <v>536</v>
      </c>
      <c r="B4" s="2"/>
      <c r="C4" s="2"/>
      <c r="D4" s="71"/>
      <c r="E4" s="2"/>
      <c r="F4" s="111"/>
      <c r="G4" s="9"/>
      <c r="H4" s="128"/>
      <c r="I4" s="127"/>
    </row>
    <row r="5" spans="1:9" s="13" customFormat="1" x14ac:dyDescent="0.2">
      <c r="A5" s="16" t="s">
        <v>537</v>
      </c>
      <c r="B5" s="2"/>
      <c r="C5" s="2"/>
      <c r="D5" s="71"/>
      <c r="E5" s="2"/>
      <c r="F5" s="2"/>
      <c r="G5" s="9"/>
      <c r="H5" s="128"/>
      <c r="I5" s="127"/>
    </row>
    <row r="6" spans="1:9" ht="5.0999999999999996" customHeight="1" x14ac:dyDescent="0.2">
      <c r="A6" s="66"/>
      <c r="B6" s="27"/>
      <c r="C6" s="27"/>
      <c r="D6" s="18"/>
      <c r="E6" s="27"/>
      <c r="F6" s="67"/>
      <c r="G6" s="28"/>
    </row>
    <row r="7" spans="1:9" s="64" customFormat="1" x14ac:dyDescent="0.2">
      <c r="A7" s="114" t="s">
        <v>0</v>
      </c>
      <c r="B7" s="100" t="s">
        <v>9</v>
      </c>
      <c r="C7" s="123" t="s">
        <v>2</v>
      </c>
      <c r="D7" s="100" t="s">
        <v>1</v>
      </c>
      <c r="E7" s="100" t="s">
        <v>6</v>
      </c>
      <c r="F7" s="121" t="s">
        <v>7</v>
      </c>
      <c r="G7" s="100" t="s">
        <v>18</v>
      </c>
      <c r="H7" s="128"/>
      <c r="I7" s="128"/>
    </row>
    <row r="8" spans="1:9" s="87" customFormat="1" ht="11.25" x14ac:dyDescent="0.2">
      <c r="A8" s="82" t="s">
        <v>36</v>
      </c>
      <c r="B8" s="83"/>
      <c r="C8" s="83"/>
      <c r="D8" s="84"/>
      <c r="E8" s="83"/>
      <c r="F8" s="85"/>
      <c r="G8" s="86"/>
      <c r="H8" s="105"/>
      <c r="I8" s="52"/>
    </row>
    <row r="9" spans="1:9" s="87" customFormat="1" ht="11.25" x14ac:dyDescent="0.2">
      <c r="A9" s="145">
        <v>1</v>
      </c>
      <c r="B9" s="143"/>
      <c r="C9" s="135"/>
      <c r="D9" s="168" t="s">
        <v>218</v>
      </c>
      <c r="E9" s="147"/>
      <c r="F9" s="148"/>
      <c r="G9" s="149"/>
      <c r="H9" s="105"/>
      <c r="I9" s="52"/>
    </row>
    <row r="10" spans="1:9" s="87" customFormat="1" ht="22.5" x14ac:dyDescent="0.2">
      <c r="A10" s="186" t="s">
        <v>11</v>
      </c>
      <c r="B10" s="164" t="s">
        <v>39</v>
      </c>
      <c r="C10" s="134" t="s">
        <v>481</v>
      </c>
      <c r="D10" s="171" t="s">
        <v>482</v>
      </c>
      <c r="E10" s="172" t="s">
        <v>221</v>
      </c>
      <c r="F10" s="175">
        <v>1.4999999999999999E-2</v>
      </c>
      <c r="G10" s="216"/>
      <c r="H10" s="105"/>
      <c r="I10" s="52"/>
    </row>
    <row r="11" spans="1:9" s="87" customFormat="1" ht="33.75" x14ac:dyDescent="0.2">
      <c r="A11" s="186" t="s">
        <v>27</v>
      </c>
      <c r="B11" s="164" t="s">
        <v>39</v>
      </c>
      <c r="C11" s="134" t="s">
        <v>223</v>
      </c>
      <c r="D11" s="171" t="s">
        <v>222</v>
      </c>
      <c r="E11" s="134" t="s">
        <v>188</v>
      </c>
      <c r="F11" s="167">
        <v>1</v>
      </c>
      <c r="G11" s="216"/>
      <c r="H11" s="105"/>
      <c r="I11" s="52"/>
    </row>
    <row r="12" spans="1:9" s="87" customFormat="1" ht="11.25" x14ac:dyDescent="0.2">
      <c r="A12" s="145">
        <v>2</v>
      </c>
      <c r="B12" s="143"/>
      <c r="C12" s="135"/>
      <c r="D12" s="168" t="s">
        <v>257</v>
      </c>
      <c r="E12" s="147"/>
      <c r="F12" s="148"/>
      <c r="G12" s="149"/>
      <c r="H12" s="105"/>
      <c r="I12" s="52"/>
    </row>
    <row r="13" spans="1:9" s="87" customFormat="1" ht="11.25" x14ac:dyDescent="0.2">
      <c r="A13" s="186" t="s">
        <v>12</v>
      </c>
      <c r="B13" s="164" t="s">
        <v>39</v>
      </c>
      <c r="C13" s="134" t="s">
        <v>258</v>
      </c>
      <c r="D13" s="171" t="s">
        <v>402</v>
      </c>
      <c r="E13" s="134" t="s">
        <v>123</v>
      </c>
      <c r="F13" s="167">
        <v>1</v>
      </c>
      <c r="G13" s="216"/>
      <c r="H13" s="105"/>
      <c r="I13" s="52"/>
    </row>
    <row r="14" spans="1:9" s="87" customFormat="1" ht="11.25" x14ac:dyDescent="0.2">
      <c r="A14" s="186" t="s">
        <v>53</v>
      </c>
      <c r="B14" s="164" t="s">
        <v>39</v>
      </c>
      <c r="C14" s="134" t="s">
        <v>259</v>
      </c>
      <c r="D14" s="171" t="s">
        <v>403</v>
      </c>
      <c r="E14" s="134" t="s">
        <v>123</v>
      </c>
      <c r="F14" s="167">
        <v>1</v>
      </c>
      <c r="G14" s="216"/>
      <c r="H14" s="105"/>
      <c r="I14" s="52"/>
    </row>
    <row r="15" spans="1:9" s="87" customFormat="1" ht="11.25" x14ac:dyDescent="0.2">
      <c r="A15" s="186" t="s">
        <v>54</v>
      </c>
      <c r="B15" s="164" t="s">
        <v>39</v>
      </c>
      <c r="C15" s="134" t="s">
        <v>260</v>
      </c>
      <c r="D15" s="171" t="s">
        <v>404</v>
      </c>
      <c r="E15" s="134" t="s">
        <v>123</v>
      </c>
      <c r="F15" s="167">
        <v>1</v>
      </c>
      <c r="G15" s="216"/>
      <c r="H15" s="105"/>
      <c r="I15" s="52"/>
    </row>
    <row r="16" spans="1:9" s="87" customFormat="1" ht="11.25" x14ac:dyDescent="0.2">
      <c r="A16" s="186" t="s">
        <v>225</v>
      </c>
      <c r="B16" s="164" t="s">
        <v>39</v>
      </c>
      <c r="C16" s="134" t="s">
        <v>261</v>
      </c>
      <c r="D16" s="171" t="s">
        <v>405</v>
      </c>
      <c r="E16" s="134" t="s">
        <v>123</v>
      </c>
      <c r="F16" s="167">
        <v>1</v>
      </c>
      <c r="G16" s="216"/>
      <c r="H16" s="105"/>
      <c r="I16" s="52"/>
    </row>
    <row r="17" spans="1:9" s="87" customFormat="1" ht="22.5" x14ac:dyDescent="0.2">
      <c r="A17" s="186" t="s">
        <v>231</v>
      </c>
      <c r="B17" s="164" t="s">
        <v>39</v>
      </c>
      <c r="C17" s="134" t="s">
        <v>262</v>
      </c>
      <c r="D17" s="171" t="s">
        <v>406</v>
      </c>
      <c r="E17" s="134" t="s">
        <v>123</v>
      </c>
      <c r="F17" s="167">
        <v>1</v>
      </c>
      <c r="G17" s="216"/>
      <c r="H17" s="105"/>
      <c r="I17" s="52"/>
    </row>
    <row r="18" spans="1:9" s="87" customFormat="1" ht="11.25" x14ac:dyDescent="0.2">
      <c r="A18" s="186" t="s">
        <v>232</v>
      </c>
      <c r="B18" s="164" t="s">
        <v>39</v>
      </c>
      <c r="C18" s="134" t="s">
        <v>263</v>
      </c>
      <c r="D18" s="171" t="s">
        <v>407</v>
      </c>
      <c r="E18" s="134" t="s">
        <v>123</v>
      </c>
      <c r="F18" s="167">
        <v>1</v>
      </c>
      <c r="G18" s="216"/>
      <c r="H18" s="105"/>
      <c r="I18" s="52"/>
    </row>
    <row r="19" spans="1:9" s="87" customFormat="1" ht="11.25" x14ac:dyDescent="0.2">
      <c r="A19" s="186" t="s">
        <v>266</v>
      </c>
      <c r="B19" s="164" t="s">
        <v>39</v>
      </c>
      <c r="C19" s="134" t="s">
        <v>264</v>
      </c>
      <c r="D19" s="171" t="s">
        <v>408</v>
      </c>
      <c r="E19" s="134" t="s">
        <v>123</v>
      </c>
      <c r="F19" s="167">
        <v>1</v>
      </c>
      <c r="G19" s="216"/>
      <c r="H19" s="105"/>
      <c r="I19" s="52"/>
    </row>
    <row r="20" spans="1:9" s="87" customFormat="1" ht="11.25" x14ac:dyDescent="0.2">
      <c r="A20" s="186" t="s">
        <v>267</v>
      </c>
      <c r="B20" s="164" t="s">
        <v>39</v>
      </c>
      <c r="C20" s="134" t="s">
        <v>265</v>
      </c>
      <c r="D20" s="171" t="s">
        <v>409</v>
      </c>
      <c r="E20" s="134" t="s">
        <v>123</v>
      </c>
      <c r="F20" s="167">
        <v>1</v>
      </c>
      <c r="G20" s="216"/>
      <c r="H20" s="105"/>
      <c r="I20" s="52"/>
    </row>
    <row r="21" spans="1:9" s="51" customFormat="1" ht="11.25" x14ac:dyDescent="0.2">
      <c r="A21" s="145">
        <v>3</v>
      </c>
      <c r="B21" s="142"/>
      <c r="C21" s="135"/>
      <c r="D21" s="157" t="s">
        <v>76</v>
      </c>
      <c r="E21" s="161"/>
      <c r="F21" s="137"/>
      <c r="G21" s="142"/>
      <c r="H21" s="105"/>
      <c r="I21" s="52"/>
    </row>
    <row r="22" spans="1:9" s="51" customFormat="1" ht="22.5" x14ac:dyDescent="0.2">
      <c r="A22" s="186" t="s">
        <v>13</v>
      </c>
      <c r="B22" s="164" t="s">
        <v>39</v>
      </c>
      <c r="C22" s="217" t="s">
        <v>220</v>
      </c>
      <c r="D22" s="171" t="s">
        <v>219</v>
      </c>
      <c r="E22" s="181" t="s">
        <v>31</v>
      </c>
      <c r="F22" s="218">
        <f>5.06+76.2</f>
        <v>81.260000000000005</v>
      </c>
      <c r="G22" s="219" t="s">
        <v>294</v>
      </c>
      <c r="H22" s="105"/>
      <c r="I22" s="52"/>
    </row>
    <row r="23" spans="1:9" s="87" customFormat="1" ht="67.5" x14ac:dyDescent="0.2">
      <c r="A23" s="186" t="s">
        <v>35</v>
      </c>
      <c r="B23" s="164" t="s">
        <v>39</v>
      </c>
      <c r="C23" s="164" t="s">
        <v>182</v>
      </c>
      <c r="D23" s="182" t="s">
        <v>181</v>
      </c>
      <c r="E23" s="220" t="s">
        <v>123</v>
      </c>
      <c r="F23" s="165">
        <v>1</v>
      </c>
      <c r="G23" s="221" t="s">
        <v>111</v>
      </c>
      <c r="H23" s="105"/>
      <c r="I23" s="52"/>
    </row>
    <row r="24" spans="1:9" s="87" customFormat="1" ht="45" x14ac:dyDescent="0.2">
      <c r="A24" s="186" t="s">
        <v>55</v>
      </c>
      <c r="B24" s="164" t="s">
        <v>39</v>
      </c>
      <c r="C24" s="164" t="s">
        <v>184</v>
      </c>
      <c r="D24" s="182" t="s">
        <v>183</v>
      </c>
      <c r="E24" s="220" t="s">
        <v>124</v>
      </c>
      <c r="F24" s="165">
        <f>4.8+14.39+10.55+6.94+4.9+4.8+1.5+8.24+3.4</f>
        <v>59.519999999999996</v>
      </c>
      <c r="G24" s="222" t="s">
        <v>538</v>
      </c>
      <c r="H24" s="105"/>
      <c r="I24" s="52"/>
    </row>
    <row r="25" spans="1:9" s="51" customFormat="1" ht="11.25" x14ac:dyDescent="0.2">
      <c r="A25" s="145">
        <v>4</v>
      </c>
      <c r="B25" s="142"/>
      <c r="C25" s="135"/>
      <c r="D25" s="157" t="s">
        <v>307</v>
      </c>
      <c r="E25" s="161"/>
      <c r="F25" s="148"/>
      <c r="G25" s="162"/>
      <c r="H25" s="105"/>
      <c r="I25" s="52"/>
    </row>
    <row r="26" spans="1:9" s="87" customFormat="1" ht="45" x14ac:dyDescent="0.2">
      <c r="A26" s="186" t="s">
        <v>10</v>
      </c>
      <c r="B26" s="164" t="s">
        <v>39</v>
      </c>
      <c r="C26" s="164" t="s">
        <v>296</v>
      </c>
      <c r="D26" s="182" t="s">
        <v>297</v>
      </c>
      <c r="E26" s="220" t="s">
        <v>295</v>
      </c>
      <c r="F26" s="165">
        <f>((0.75*2.1*4)+(0.6*2.1*4)+ (1.1*2.1)+(0.8*2.1*3))</f>
        <v>18.690000000000001</v>
      </c>
      <c r="G26" s="222" t="s">
        <v>539</v>
      </c>
      <c r="H26" s="105"/>
      <c r="I26" s="52"/>
    </row>
    <row r="27" spans="1:9" s="87" customFormat="1" ht="45" x14ac:dyDescent="0.2">
      <c r="A27" s="186" t="s">
        <v>28</v>
      </c>
      <c r="B27" s="164" t="s">
        <v>39</v>
      </c>
      <c r="C27" s="164" t="s">
        <v>298</v>
      </c>
      <c r="D27" s="182" t="s">
        <v>299</v>
      </c>
      <c r="E27" s="220" t="s">
        <v>295</v>
      </c>
      <c r="F27" s="165">
        <f>(2*1.25*1)+(0.9*0.7*1)+(1.5*0.5*1)</f>
        <v>3.88</v>
      </c>
      <c r="G27" s="222" t="s">
        <v>540</v>
      </c>
      <c r="H27" s="105"/>
      <c r="I27" s="52"/>
    </row>
    <row r="28" spans="1:9" s="87" customFormat="1" ht="45" x14ac:dyDescent="0.2">
      <c r="A28" s="186" t="s">
        <v>29</v>
      </c>
      <c r="B28" s="164" t="s">
        <v>39</v>
      </c>
      <c r="C28" s="164" t="s">
        <v>300</v>
      </c>
      <c r="D28" s="182" t="s">
        <v>301</v>
      </c>
      <c r="E28" s="220" t="s">
        <v>188</v>
      </c>
      <c r="F28" s="165">
        <v>7</v>
      </c>
      <c r="G28" s="222" t="s">
        <v>541</v>
      </c>
      <c r="H28" s="105"/>
      <c r="I28" s="52"/>
    </row>
    <row r="29" spans="1:9" s="87" customFormat="1" ht="45" x14ac:dyDescent="0.2">
      <c r="A29" s="186" t="s">
        <v>37</v>
      </c>
      <c r="B29" s="164" t="s">
        <v>39</v>
      </c>
      <c r="C29" s="164" t="s">
        <v>302</v>
      </c>
      <c r="D29" s="182" t="s">
        <v>303</v>
      </c>
      <c r="E29" s="220" t="s">
        <v>188</v>
      </c>
      <c r="F29" s="165">
        <v>10</v>
      </c>
      <c r="G29" s="222" t="s">
        <v>542</v>
      </c>
      <c r="H29" s="105"/>
      <c r="I29" s="52"/>
    </row>
    <row r="30" spans="1:9" s="87" customFormat="1" ht="45" x14ac:dyDescent="0.2">
      <c r="A30" s="186" t="s">
        <v>470</v>
      </c>
      <c r="B30" s="164" t="s">
        <v>39</v>
      </c>
      <c r="C30" s="164" t="s">
        <v>304</v>
      </c>
      <c r="D30" s="182" t="s">
        <v>305</v>
      </c>
      <c r="E30" s="220" t="s">
        <v>188</v>
      </c>
      <c r="F30" s="165">
        <v>8</v>
      </c>
      <c r="G30" s="222" t="s">
        <v>306</v>
      </c>
      <c r="H30" s="105"/>
      <c r="I30" s="52"/>
    </row>
    <row r="31" spans="1:9" s="87" customFormat="1" ht="67.5" x14ac:dyDescent="0.2">
      <c r="A31" s="186" t="s">
        <v>471</v>
      </c>
      <c r="B31" s="164" t="s">
        <v>39</v>
      </c>
      <c r="C31" s="164" t="s">
        <v>495</v>
      </c>
      <c r="D31" s="182" t="s">
        <v>494</v>
      </c>
      <c r="E31" s="220" t="s">
        <v>295</v>
      </c>
      <c r="F31" s="165">
        <f>69.04+4.18+2.79+7.59</f>
        <v>83.600000000000009</v>
      </c>
      <c r="G31" s="222" t="s">
        <v>496</v>
      </c>
      <c r="H31" s="105"/>
      <c r="I31" s="52"/>
    </row>
    <row r="32" spans="1:9" s="87" customFormat="1" ht="33.75" x14ac:dyDescent="0.2">
      <c r="A32" s="186" t="s">
        <v>472</v>
      </c>
      <c r="B32" s="164" t="s">
        <v>39</v>
      </c>
      <c r="C32" s="164" t="s">
        <v>308</v>
      </c>
      <c r="D32" s="182" t="s">
        <v>309</v>
      </c>
      <c r="E32" s="220" t="s">
        <v>310</v>
      </c>
      <c r="F32" s="165">
        <f>3.33*3</f>
        <v>9.99</v>
      </c>
      <c r="G32" s="222" t="s">
        <v>543</v>
      </c>
      <c r="H32" s="105"/>
      <c r="I32" s="52"/>
    </row>
    <row r="33" spans="1:9" s="87" customFormat="1" ht="33.75" x14ac:dyDescent="0.2">
      <c r="A33" s="186" t="s">
        <v>473</v>
      </c>
      <c r="B33" s="164" t="s">
        <v>39</v>
      </c>
      <c r="C33" s="164" t="s">
        <v>311</v>
      </c>
      <c r="D33" s="182" t="s">
        <v>312</v>
      </c>
      <c r="E33" s="220" t="s">
        <v>310</v>
      </c>
      <c r="F33" s="165">
        <f>105.28*0.08</f>
        <v>8.4223999999999997</v>
      </c>
      <c r="G33" s="222" t="s">
        <v>499</v>
      </c>
      <c r="H33" s="105"/>
      <c r="I33" s="52"/>
    </row>
    <row r="34" spans="1:9" s="87" customFormat="1" ht="45" x14ac:dyDescent="0.2">
      <c r="A34" s="186" t="s">
        <v>474</v>
      </c>
      <c r="B34" s="164" t="s">
        <v>39</v>
      </c>
      <c r="C34" s="164" t="s">
        <v>313</v>
      </c>
      <c r="D34" s="182" t="s">
        <v>314</v>
      </c>
      <c r="E34" s="220" t="s">
        <v>295</v>
      </c>
      <c r="F34" s="165">
        <f>10.14+5.1+1.65+1.59+4.18+2.79+7.59+15.39+69.04+13.5+10.34+8.16+9.13+18.25+24.78</f>
        <v>201.63</v>
      </c>
      <c r="G34" s="222" t="s">
        <v>498</v>
      </c>
      <c r="H34" s="105"/>
      <c r="I34" s="52"/>
    </row>
    <row r="35" spans="1:9" s="87" customFormat="1" ht="33.75" x14ac:dyDescent="0.2">
      <c r="A35" s="186" t="s">
        <v>475</v>
      </c>
      <c r="B35" s="164" t="s">
        <v>39</v>
      </c>
      <c r="C35" s="164" t="s">
        <v>315</v>
      </c>
      <c r="D35" s="182" t="s">
        <v>316</v>
      </c>
      <c r="E35" s="220" t="s">
        <v>295</v>
      </c>
      <c r="F35" s="165">
        <v>251.64</v>
      </c>
      <c r="G35" s="222" t="s">
        <v>317</v>
      </c>
      <c r="H35" s="105"/>
      <c r="I35" s="52"/>
    </row>
    <row r="36" spans="1:9" s="87" customFormat="1" ht="33.75" x14ac:dyDescent="0.2">
      <c r="A36" s="186" t="s">
        <v>476</v>
      </c>
      <c r="B36" s="164" t="s">
        <v>39</v>
      </c>
      <c r="C36" s="164" t="s">
        <v>318</v>
      </c>
      <c r="D36" s="182" t="s">
        <v>319</v>
      </c>
      <c r="E36" s="220" t="s">
        <v>295</v>
      </c>
      <c r="F36" s="165">
        <f>F35</f>
        <v>251.64</v>
      </c>
      <c r="G36" s="222" t="s">
        <v>317</v>
      </c>
      <c r="H36" s="105"/>
      <c r="I36" s="52"/>
    </row>
    <row r="37" spans="1:9" s="51" customFormat="1" ht="11.25" x14ac:dyDescent="0.2">
      <c r="A37" s="145">
        <v>5</v>
      </c>
      <c r="B37" s="142"/>
      <c r="C37" s="135"/>
      <c r="D37" s="157" t="s">
        <v>77</v>
      </c>
      <c r="E37" s="161"/>
      <c r="F37" s="148"/>
      <c r="G37" s="162"/>
      <c r="H37" s="105"/>
      <c r="I37" s="52"/>
    </row>
    <row r="38" spans="1:9" s="87" customFormat="1" ht="22.5" x14ac:dyDescent="0.2">
      <c r="A38" s="133" t="s">
        <v>21</v>
      </c>
      <c r="B38" s="164" t="s">
        <v>39</v>
      </c>
      <c r="C38" s="164" t="s">
        <v>43</v>
      </c>
      <c r="D38" s="182" t="s">
        <v>78</v>
      </c>
      <c r="E38" s="220" t="s">
        <v>33</v>
      </c>
      <c r="F38" s="165">
        <f>((0.6*0.6*0.6*16)+(2*0.071*16)+(111.66*0.25*0.35))</f>
        <v>15.498249999999999</v>
      </c>
      <c r="G38" s="166" t="s">
        <v>544</v>
      </c>
      <c r="H38" s="105">
        <f>12.89+4.05+9.05+6.19+6.19+3.23+2.59+1.33+6.19+3.65+1.65+4.2+4.05+4.05+4.05+4.05+3.43+1.99+1.99+1.05+1.05+1.05+1.05+4.15+4.15+3.3+8.39+2.65</f>
        <v>111.65999999999998</v>
      </c>
      <c r="I38" s="52"/>
    </row>
    <row r="39" spans="1:9" s="87" customFormat="1" ht="22.5" x14ac:dyDescent="0.2">
      <c r="A39" s="133" t="s">
        <v>22</v>
      </c>
      <c r="B39" s="164" t="s">
        <v>39</v>
      </c>
      <c r="C39" s="164" t="s">
        <v>44</v>
      </c>
      <c r="D39" s="182" t="s">
        <v>32</v>
      </c>
      <c r="E39" s="220" t="s">
        <v>31</v>
      </c>
      <c r="F39" s="165">
        <f>((0.6*0.6*16)+(111.66*0.25))</f>
        <v>33.674999999999997</v>
      </c>
      <c r="G39" s="166" t="s">
        <v>545</v>
      </c>
      <c r="H39" s="105"/>
      <c r="I39" s="52"/>
    </row>
    <row r="40" spans="1:9" s="87" customFormat="1" ht="11.25" x14ac:dyDescent="0.2">
      <c r="A40" s="133" t="s">
        <v>38</v>
      </c>
      <c r="B40" s="164" t="s">
        <v>323</v>
      </c>
      <c r="C40" s="164" t="s">
        <v>36</v>
      </c>
      <c r="D40" s="182" t="s">
        <v>322</v>
      </c>
      <c r="E40" s="220" t="s">
        <v>33</v>
      </c>
      <c r="F40" s="165">
        <f>(4.48+3.75+3.75+17.9+6.67+6.67+4.5+8.55+7.16)*0.1</f>
        <v>6.343</v>
      </c>
      <c r="G40" s="166" t="s">
        <v>497</v>
      </c>
      <c r="H40" s="105"/>
      <c r="I40" s="52"/>
    </row>
    <row r="41" spans="1:9" s="87" customFormat="1" ht="22.5" x14ac:dyDescent="0.2">
      <c r="A41" s="133" t="s">
        <v>56</v>
      </c>
      <c r="B41" s="164" t="s">
        <v>39</v>
      </c>
      <c r="C41" s="164" t="s">
        <v>320</v>
      </c>
      <c r="D41" s="223" t="s">
        <v>321</v>
      </c>
      <c r="E41" s="220" t="s">
        <v>33</v>
      </c>
      <c r="F41" s="165">
        <f>F40</f>
        <v>6.343</v>
      </c>
      <c r="G41" s="166"/>
      <c r="H41" s="105"/>
      <c r="I41" s="52"/>
    </row>
    <row r="42" spans="1:9" s="51" customFormat="1" ht="11.25" x14ac:dyDescent="0.2">
      <c r="A42" s="145">
        <v>6</v>
      </c>
      <c r="B42" s="142"/>
      <c r="C42" s="135"/>
      <c r="D42" s="157" t="s">
        <v>79</v>
      </c>
      <c r="E42" s="161"/>
      <c r="F42" s="148"/>
      <c r="G42" s="149"/>
      <c r="H42" s="105"/>
      <c r="I42" s="52"/>
    </row>
    <row r="43" spans="1:9" s="51" customFormat="1" ht="11.25" x14ac:dyDescent="0.2">
      <c r="A43" s="145" t="s">
        <v>23</v>
      </c>
      <c r="B43" s="142"/>
      <c r="C43" s="135"/>
      <c r="D43" s="157" t="s">
        <v>80</v>
      </c>
      <c r="E43" s="161"/>
      <c r="F43" s="148"/>
      <c r="G43" s="149"/>
      <c r="H43" s="105"/>
      <c r="I43" s="52"/>
    </row>
    <row r="44" spans="1:9" s="87" customFormat="1" ht="22.5" x14ac:dyDescent="0.2">
      <c r="A44" s="133" t="s">
        <v>268</v>
      </c>
      <c r="B44" s="164" t="s">
        <v>39</v>
      </c>
      <c r="C44" s="164" t="s">
        <v>41</v>
      </c>
      <c r="D44" s="182" t="s">
        <v>42</v>
      </c>
      <c r="E44" s="220" t="s">
        <v>33</v>
      </c>
      <c r="F44" s="165">
        <f>((0.6*0.6*0.05*15)+(111.66*0.25*0.05))</f>
        <v>1.6657500000000001</v>
      </c>
      <c r="G44" s="166" t="s">
        <v>548</v>
      </c>
      <c r="H44" s="105"/>
      <c r="I44" s="52"/>
    </row>
    <row r="45" spans="1:9" s="87" customFormat="1" ht="33.75" x14ac:dyDescent="0.2">
      <c r="A45" s="133" t="s">
        <v>269</v>
      </c>
      <c r="B45" s="164" t="s">
        <v>39</v>
      </c>
      <c r="C45" s="164" t="s">
        <v>57</v>
      </c>
      <c r="D45" s="182" t="s">
        <v>152</v>
      </c>
      <c r="E45" s="220" t="s">
        <v>33</v>
      </c>
      <c r="F45" s="165">
        <f>((0.6*0.6*0.6*16)+(2*0.071*16))</f>
        <v>5.7279999999999998</v>
      </c>
      <c r="G45" s="166" t="s">
        <v>549</v>
      </c>
      <c r="H45" s="105"/>
      <c r="I45" s="52"/>
    </row>
    <row r="46" spans="1:9" s="87" customFormat="1" ht="11.25" x14ac:dyDescent="0.2">
      <c r="A46" s="133" t="s">
        <v>270</v>
      </c>
      <c r="B46" s="164" t="s">
        <v>39</v>
      </c>
      <c r="C46" s="164" t="s">
        <v>112</v>
      </c>
      <c r="D46" s="182" t="s">
        <v>113</v>
      </c>
      <c r="E46" s="220" t="s">
        <v>114</v>
      </c>
      <c r="F46" s="165">
        <f>5.73*17.42</f>
        <v>99.816600000000022</v>
      </c>
      <c r="G46" s="166"/>
      <c r="H46" s="105"/>
      <c r="I46" s="52"/>
    </row>
    <row r="47" spans="1:9" s="51" customFormat="1" ht="11.25" x14ac:dyDescent="0.2">
      <c r="A47" s="145" t="s">
        <v>25</v>
      </c>
      <c r="B47" s="142"/>
      <c r="C47" s="135"/>
      <c r="D47" s="157" t="s">
        <v>83</v>
      </c>
      <c r="E47" s="161"/>
      <c r="F47" s="148"/>
      <c r="G47" s="149"/>
      <c r="H47" s="105"/>
      <c r="I47" s="52"/>
    </row>
    <row r="48" spans="1:9" s="87" customFormat="1" ht="33.75" x14ac:dyDescent="0.2">
      <c r="A48" s="133" t="s">
        <v>271</v>
      </c>
      <c r="B48" s="164" t="s">
        <v>39</v>
      </c>
      <c r="C48" s="164" t="s">
        <v>57</v>
      </c>
      <c r="D48" s="182" t="s">
        <v>82</v>
      </c>
      <c r="E48" s="220" t="s">
        <v>33</v>
      </c>
      <c r="F48" s="165">
        <f>111.66*0.3*0.15</f>
        <v>5.0246999999999993</v>
      </c>
      <c r="G48" s="166" t="s">
        <v>546</v>
      </c>
      <c r="H48" s="105"/>
      <c r="I48" s="52"/>
    </row>
    <row r="49" spans="1:9" s="87" customFormat="1" ht="22.5" x14ac:dyDescent="0.2">
      <c r="A49" s="133" t="s">
        <v>272</v>
      </c>
      <c r="B49" s="164" t="s">
        <v>39</v>
      </c>
      <c r="C49" s="164" t="s">
        <v>45</v>
      </c>
      <c r="D49" s="182" t="s">
        <v>81</v>
      </c>
      <c r="E49" s="220" t="s">
        <v>31</v>
      </c>
      <c r="F49" s="165">
        <f>((111.66*0.3*2)/3)</f>
        <v>22.331999999999997</v>
      </c>
      <c r="G49" s="166" t="s">
        <v>547</v>
      </c>
      <c r="H49" s="105"/>
      <c r="I49" s="52"/>
    </row>
    <row r="50" spans="1:9" s="87" customFormat="1" ht="11.25" x14ac:dyDescent="0.2">
      <c r="A50" s="133" t="s">
        <v>273</v>
      </c>
      <c r="B50" s="164" t="s">
        <v>39</v>
      </c>
      <c r="C50" s="164" t="s">
        <v>112</v>
      </c>
      <c r="D50" s="182" t="s">
        <v>113</v>
      </c>
      <c r="E50" s="220" t="s">
        <v>114</v>
      </c>
      <c r="F50" s="165">
        <f>5.02*15.56</f>
        <v>78.111199999999997</v>
      </c>
      <c r="G50" s="166"/>
      <c r="H50" s="105"/>
      <c r="I50" s="52"/>
    </row>
    <row r="51" spans="1:9" s="51" customFormat="1" ht="11.25" x14ac:dyDescent="0.2">
      <c r="A51" s="145" t="s">
        <v>30</v>
      </c>
      <c r="B51" s="142"/>
      <c r="C51" s="135"/>
      <c r="D51" s="157" t="s">
        <v>115</v>
      </c>
      <c r="E51" s="161"/>
      <c r="F51" s="148"/>
      <c r="G51" s="149"/>
      <c r="H51" s="105"/>
      <c r="I51" s="52"/>
    </row>
    <row r="52" spans="1:9" s="87" customFormat="1" ht="22.5" x14ac:dyDescent="0.2">
      <c r="A52" s="133" t="s">
        <v>274</v>
      </c>
      <c r="B52" s="164" t="s">
        <v>39</v>
      </c>
      <c r="C52" s="164" t="s">
        <v>58</v>
      </c>
      <c r="D52" s="224" t="s">
        <v>84</v>
      </c>
      <c r="E52" s="220" t="s">
        <v>31</v>
      </c>
      <c r="F52" s="165">
        <f>(((15*3.2*0.3*2)+(30*1.5*0.2)+(111.66*0.35*2)+(137.93*0.3*2))/3)</f>
        <v>66.239999999999995</v>
      </c>
      <c r="G52" s="166" t="s">
        <v>555</v>
      </c>
      <c r="H52" s="105"/>
      <c r="I52" s="52"/>
    </row>
    <row r="53" spans="1:9" s="87" customFormat="1" ht="22.5" x14ac:dyDescent="0.2">
      <c r="A53" s="133" t="s">
        <v>275</v>
      </c>
      <c r="B53" s="164" t="s">
        <v>39</v>
      </c>
      <c r="C53" s="164" t="s">
        <v>40</v>
      </c>
      <c r="D53" s="224" t="s">
        <v>85</v>
      </c>
      <c r="E53" s="220" t="s">
        <v>33</v>
      </c>
      <c r="F53" s="165">
        <f>((111.66*0.3*0.1)+(137.93*0.2*0.1)+(0.1*0.3*3.2*15)+(30*1.5*0.2*0.1))</f>
        <v>8.4484000000000012</v>
      </c>
      <c r="G53" s="166" t="s">
        <v>556</v>
      </c>
      <c r="H53" s="105"/>
      <c r="I53" s="52"/>
    </row>
    <row r="54" spans="1:9" s="87" customFormat="1" ht="11.25" x14ac:dyDescent="0.2">
      <c r="A54" s="133" t="s">
        <v>276</v>
      </c>
      <c r="B54" s="164" t="s">
        <v>39</v>
      </c>
      <c r="C54" s="164" t="s">
        <v>112</v>
      </c>
      <c r="D54" s="182" t="s">
        <v>113</v>
      </c>
      <c r="E54" s="220" t="s">
        <v>114</v>
      </c>
      <c r="F54" s="165">
        <f>69*F53</f>
        <v>582.93960000000004</v>
      </c>
      <c r="G54" s="166"/>
      <c r="H54" s="105"/>
      <c r="I54" s="52"/>
    </row>
    <row r="55" spans="1:9" s="51" customFormat="1" ht="11.25" x14ac:dyDescent="0.2">
      <c r="A55" s="145">
        <v>7</v>
      </c>
      <c r="B55" s="142"/>
      <c r="C55" s="135"/>
      <c r="D55" s="157" t="s">
        <v>86</v>
      </c>
      <c r="E55" s="161"/>
      <c r="F55" s="148"/>
      <c r="G55" s="149"/>
      <c r="H55" s="105"/>
      <c r="I55" s="52"/>
    </row>
    <row r="56" spans="1:9" s="51" customFormat="1" ht="11.25" x14ac:dyDescent="0.2">
      <c r="A56" s="145" t="s">
        <v>24</v>
      </c>
      <c r="B56" s="142"/>
      <c r="C56" s="135"/>
      <c r="D56" s="157" t="s">
        <v>87</v>
      </c>
      <c r="E56" s="161"/>
      <c r="F56" s="148"/>
      <c r="G56" s="149"/>
      <c r="H56" s="105"/>
      <c r="I56" s="52"/>
    </row>
    <row r="57" spans="1:9" s="87" customFormat="1" ht="33.75" x14ac:dyDescent="0.2">
      <c r="A57" s="133" t="s">
        <v>467</v>
      </c>
      <c r="B57" s="164" t="s">
        <v>39</v>
      </c>
      <c r="C57" s="164" t="s">
        <v>59</v>
      </c>
      <c r="D57" s="224" t="s">
        <v>116</v>
      </c>
      <c r="E57" s="225" t="s">
        <v>31</v>
      </c>
      <c r="F57" s="165">
        <f>111.66*3.2 + 137.93*1.5+2.21*3.2+1.51*3.2+2.36*3.2+0.36*3.2+7.4*3.2+2.34*3.2+1.99*2.2+1.99*2.2+2.1*2.2</f>
        <v>629.35900000000004</v>
      </c>
      <c r="G57" s="166" t="s">
        <v>554</v>
      </c>
      <c r="H57" s="105"/>
      <c r="I57" s="52"/>
    </row>
    <row r="58" spans="1:9" s="87" customFormat="1" ht="33.75" x14ac:dyDescent="0.2">
      <c r="A58" s="133" t="s">
        <v>468</v>
      </c>
      <c r="B58" s="164" t="s">
        <v>39</v>
      </c>
      <c r="C58" s="164" t="s">
        <v>47</v>
      </c>
      <c r="D58" s="224" t="s">
        <v>88</v>
      </c>
      <c r="E58" s="225" t="s">
        <v>31</v>
      </c>
      <c r="F58" s="218">
        <f>(F57*2)</f>
        <v>1258.7180000000001</v>
      </c>
      <c r="G58" s="166" t="s">
        <v>550</v>
      </c>
      <c r="H58" s="105"/>
      <c r="I58" s="52"/>
    </row>
    <row r="59" spans="1:9" s="87" customFormat="1" ht="33.75" x14ac:dyDescent="0.2">
      <c r="A59" s="133" t="s">
        <v>469</v>
      </c>
      <c r="B59" s="164" t="s">
        <v>39</v>
      </c>
      <c r="C59" s="164" t="s">
        <v>60</v>
      </c>
      <c r="D59" s="224" t="s">
        <v>89</v>
      </c>
      <c r="E59" s="225" t="s">
        <v>31</v>
      </c>
      <c r="F59" s="165">
        <f>F58</f>
        <v>1258.7180000000001</v>
      </c>
      <c r="G59" s="166" t="s">
        <v>117</v>
      </c>
      <c r="H59" s="105"/>
      <c r="I59" s="52"/>
    </row>
    <row r="60" spans="1:9" s="87" customFormat="1" ht="33.75" x14ac:dyDescent="0.2">
      <c r="A60" s="133" t="s">
        <v>503</v>
      </c>
      <c r="B60" s="164" t="s">
        <v>39</v>
      </c>
      <c r="C60" s="164" t="s">
        <v>505</v>
      </c>
      <c r="D60" s="224" t="s">
        <v>504</v>
      </c>
      <c r="E60" s="225" t="s">
        <v>124</v>
      </c>
      <c r="F60" s="165">
        <f>6.37+25.94+33.29+27.78</f>
        <v>93.38</v>
      </c>
      <c r="G60" s="166" t="s">
        <v>506</v>
      </c>
      <c r="H60" s="105"/>
      <c r="I60" s="52"/>
    </row>
    <row r="61" spans="1:9" s="87" customFormat="1" ht="11.25" x14ac:dyDescent="0.2">
      <c r="A61" s="154" t="s">
        <v>158</v>
      </c>
      <c r="B61" s="155"/>
      <c r="C61" s="156"/>
      <c r="D61" s="157" t="s">
        <v>90</v>
      </c>
      <c r="E61" s="158"/>
      <c r="F61" s="159"/>
      <c r="G61" s="160"/>
      <c r="H61" s="105"/>
      <c r="I61" s="52"/>
    </row>
    <row r="62" spans="1:9" s="87" customFormat="1" ht="33.75" x14ac:dyDescent="0.2">
      <c r="A62" s="133" t="s">
        <v>462</v>
      </c>
      <c r="B62" s="164" t="s">
        <v>39</v>
      </c>
      <c r="C62" s="164" t="s">
        <v>57</v>
      </c>
      <c r="D62" s="224" t="s">
        <v>153</v>
      </c>
      <c r="E62" s="225" t="s">
        <v>33</v>
      </c>
      <c r="F62" s="165">
        <f>((266.91+84.43+6.81+6.67+6.67+17.9+3.75+3.75+4.19+4.5+8.55+7.1)*0.06)</f>
        <v>25.273800000000005</v>
      </c>
      <c r="G62" s="166" t="s">
        <v>500</v>
      </c>
      <c r="H62" s="105"/>
      <c r="I62" s="52"/>
    </row>
    <row r="63" spans="1:9" s="87" customFormat="1" ht="22.5" x14ac:dyDescent="0.2">
      <c r="A63" s="133" t="s">
        <v>463</v>
      </c>
      <c r="B63" s="164" t="s">
        <v>39</v>
      </c>
      <c r="C63" s="164" t="s">
        <v>324</v>
      </c>
      <c r="D63" s="224" t="s">
        <v>325</v>
      </c>
      <c r="E63" s="225" t="s">
        <v>31</v>
      </c>
      <c r="F63" s="165">
        <f>8.04+9.9+9.9+6.94+6.82+16.8+12.28+4.5+28.5+9.1+30.08+12+9.2+6+30.5+16+7.42</f>
        <v>223.97999999999996</v>
      </c>
      <c r="G63" s="166" t="s">
        <v>551</v>
      </c>
      <c r="H63" s="105"/>
      <c r="I63" s="52"/>
    </row>
    <row r="64" spans="1:9" s="87" customFormat="1" ht="33.75" x14ac:dyDescent="0.2">
      <c r="A64" s="133" t="s">
        <v>464</v>
      </c>
      <c r="B64" s="164" t="s">
        <v>39</v>
      </c>
      <c r="C64" s="164" t="s">
        <v>62</v>
      </c>
      <c r="D64" s="224" t="s">
        <v>92</v>
      </c>
      <c r="E64" s="225" t="s">
        <v>124</v>
      </c>
      <c r="F64" s="165">
        <f>16.18+6.36+10.4+10.7+8.06+13.24+14.12+12.68+12.85+14.2+10.7+12.17+12.92+25.02+19.86+16.12</f>
        <v>215.57999999999998</v>
      </c>
      <c r="G64" s="166" t="s">
        <v>501</v>
      </c>
      <c r="H64" s="105"/>
      <c r="I64" s="52"/>
    </row>
    <row r="65" spans="1:9" s="87" customFormat="1" ht="45" x14ac:dyDescent="0.2">
      <c r="A65" s="133" t="s">
        <v>465</v>
      </c>
      <c r="B65" s="164" t="s">
        <v>39</v>
      </c>
      <c r="C65" s="226" t="s">
        <v>63</v>
      </c>
      <c r="D65" s="224" t="s">
        <v>93</v>
      </c>
      <c r="E65" s="225" t="s">
        <v>31</v>
      </c>
      <c r="F65" s="165">
        <f>29.84+29.84+29.24+21.84+21.84+26.46+19.38+20.94+19.38</f>
        <v>218.76</v>
      </c>
      <c r="G65" s="222" t="s">
        <v>502</v>
      </c>
      <c r="H65" s="105"/>
      <c r="I65" s="52"/>
    </row>
    <row r="66" spans="1:9" s="87" customFormat="1" ht="45" x14ac:dyDescent="0.2">
      <c r="A66" s="133" t="s">
        <v>466</v>
      </c>
      <c r="B66" s="164" t="s">
        <v>39</v>
      </c>
      <c r="C66" s="226" t="s">
        <v>61</v>
      </c>
      <c r="D66" s="224" t="s">
        <v>91</v>
      </c>
      <c r="E66" s="225" t="s">
        <v>31</v>
      </c>
      <c r="F66" s="165">
        <f>2.4+2.16+4.23+4.14+3.54+2.87+12.12+13.5+10.34+9.13+3.46+10.58+4.18+7.6</f>
        <v>90.249999999999972</v>
      </c>
      <c r="G66" s="222" t="s">
        <v>552</v>
      </c>
      <c r="H66" s="105"/>
      <c r="I66" s="52"/>
    </row>
    <row r="67" spans="1:9" s="51" customFormat="1" ht="11.25" x14ac:dyDescent="0.2">
      <c r="A67" s="145" t="s">
        <v>226</v>
      </c>
      <c r="B67" s="142"/>
      <c r="C67" s="145"/>
      <c r="D67" s="150" t="s">
        <v>94</v>
      </c>
      <c r="E67" s="151"/>
      <c r="F67" s="148"/>
      <c r="G67" s="149"/>
      <c r="H67" s="105"/>
      <c r="I67" s="52"/>
    </row>
    <row r="68" spans="1:9" s="87" customFormat="1" ht="22.5" x14ac:dyDescent="0.2">
      <c r="A68" s="133" t="s">
        <v>457</v>
      </c>
      <c r="B68" s="164" t="s">
        <v>39</v>
      </c>
      <c r="C68" s="133" t="s">
        <v>155</v>
      </c>
      <c r="D68" s="224" t="s">
        <v>156</v>
      </c>
      <c r="E68" s="225" t="s">
        <v>31</v>
      </c>
      <c r="F68" s="165">
        <f>(F58-F65-(104.64*1.5))</f>
        <v>882.99800000000005</v>
      </c>
      <c r="G68" s="166" t="s">
        <v>235</v>
      </c>
      <c r="H68" s="105"/>
      <c r="I68" s="52"/>
    </row>
    <row r="69" spans="1:9" s="87" customFormat="1" ht="22.5" x14ac:dyDescent="0.2">
      <c r="A69" s="133" t="s">
        <v>458</v>
      </c>
      <c r="B69" s="164" t="s">
        <v>39</v>
      </c>
      <c r="C69" s="133" t="s">
        <v>328</v>
      </c>
      <c r="D69" s="224" t="s">
        <v>329</v>
      </c>
      <c r="E69" s="225" t="s">
        <v>31</v>
      </c>
      <c r="F69" s="165">
        <f>F68</f>
        <v>882.99800000000005</v>
      </c>
      <c r="G69" s="166" t="s">
        <v>235</v>
      </c>
      <c r="H69" s="105"/>
      <c r="I69" s="52"/>
    </row>
    <row r="70" spans="1:9" s="87" customFormat="1" ht="22.5" x14ac:dyDescent="0.2">
      <c r="A70" s="133" t="s">
        <v>459</v>
      </c>
      <c r="B70" s="164" t="s">
        <v>39</v>
      </c>
      <c r="C70" s="133" t="s">
        <v>64</v>
      </c>
      <c r="D70" s="171" t="s">
        <v>185</v>
      </c>
      <c r="E70" s="225" t="s">
        <v>31</v>
      </c>
      <c r="F70" s="165">
        <f>F69</f>
        <v>882.99800000000005</v>
      </c>
      <c r="G70" s="166" t="s">
        <v>235</v>
      </c>
      <c r="H70" s="105"/>
      <c r="I70" s="52"/>
    </row>
    <row r="71" spans="1:9" s="87" customFormat="1" ht="22.5" x14ac:dyDescent="0.2">
      <c r="A71" s="133" t="s">
        <v>460</v>
      </c>
      <c r="B71" s="164" t="s">
        <v>39</v>
      </c>
      <c r="C71" s="133" t="s">
        <v>326</v>
      </c>
      <c r="D71" s="171" t="s">
        <v>327</v>
      </c>
      <c r="E71" s="225" t="s">
        <v>31</v>
      </c>
      <c r="F71" s="165">
        <f>6.67+6.67+17.9+3.75+3.75+4.19+7.16+8.55+4.5+7.28+7.59+50+10.58+6.21+17.58</f>
        <v>162.38</v>
      </c>
      <c r="G71" s="166" t="s">
        <v>508</v>
      </c>
      <c r="H71" s="105"/>
      <c r="I71" s="52"/>
    </row>
    <row r="72" spans="1:9" s="87" customFormat="1" ht="22.5" x14ac:dyDescent="0.2">
      <c r="A72" s="133" t="s">
        <v>461</v>
      </c>
      <c r="B72" s="164" t="s">
        <v>39</v>
      </c>
      <c r="C72" s="133" t="s">
        <v>65</v>
      </c>
      <c r="D72" s="224" t="s">
        <v>95</v>
      </c>
      <c r="E72" s="225" t="s">
        <v>31</v>
      </c>
      <c r="F72" s="165">
        <f>F71</f>
        <v>162.38</v>
      </c>
      <c r="G72" s="166" t="s">
        <v>508</v>
      </c>
      <c r="H72" s="105"/>
      <c r="I72" s="52"/>
    </row>
    <row r="73" spans="1:9" s="51" customFormat="1" ht="10.9" customHeight="1" x14ac:dyDescent="0.2">
      <c r="A73" s="145" t="s">
        <v>227</v>
      </c>
      <c r="B73" s="142"/>
      <c r="C73" s="145"/>
      <c r="D73" s="150" t="s">
        <v>96</v>
      </c>
      <c r="E73" s="151"/>
      <c r="F73" s="148"/>
      <c r="G73" s="149"/>
      <c r="H73" s="105"/>
      <c r="I73" s="52"/>
    </row>
    <row r="74" spans="1:9" s="87" customFormat="1" ht="45" x14ac:dyDescent="0.2">
      <c r="A74" s="133" t="s">
        <v>448</v>
      </c>
      <c r="B74" s="164" t="s">
        <v>39</v>
      </c>
      <c r="C74" s="133" t="s">
        <v>330</v>
      </c>
      <c r="D74" s="227" t="s">
        <v>331</v>
      </c>
      <c r="E74" s="225" t="s">
        <v>114</v>
      </c>
      <c r="F74" s="165">
        <f>(((332.54+(332.54*0.08))*2.54))</f>
        <v>912.22372800000005</v>
      </c>
      <c r="G74" s="166" t="s">
        <v>553</v>
      </c>
      <c r="H74" s="105"/>
      <c r="I74" s="52"/>
    </row>
    <row r="75" spans="1:9" s="87" customFormat="1" ht="45" x14ac:dyDescent="0.2">
      <c r="A75" s="133" t="s">
        <v>449</v>
      </c>
      <c r="B75" s="164" t="s">
        <v>39</v>
      </c>
      <c r="C75" s="217" t="s">
        <v>236</v>
      </c>
      <c r="D75" s="224" t="s">
        <v>237</v>
      </c>
      <c r="E75" s="225" t="s">
        <v>31</v>
      </c>
      <c r="F75" s="165">
        <f>(((332.54+(332.54*0.08))))</f>
        <v>359.14320000000004</v>
      </c>
      <c r="G75" s="166" t="s">
        <v>507</v>
      </c>
      <c r="H75" s="105"/>
      <c r="I75" s="52"/>
    </row>
    <row r="76" spans="1:9" s="87" customFormat="1" ht="33.75" x14ac:dyDescent="0.2">
      <c r="A76" s="133" t="s">
        <v>450</v>
      </c>
      <c r="B76" s="164" t="s">
        <v>39</v>
      </c>
      <c r="C76" s="134" t="s">
        <v>483</v>
      </c>
      <c r="D76" s="224" t="s">
        <v>485</v>
      </c>
      <c r="E76" s="225" t="s">
        <v>31</v>
      </c>
      <c r="F76" s="165">
        <f>F71</f>
        <v>162.38</v>
      </c>
      <c r="G76" s="166" t="s">
        <v>508</v>
      </c>
      <c r="H76" s="105"/>
      <c r="I76" s="52"/>
    </row>
    <row r="77" spans="1:9" s="87" customFormat="1" ht="33.75" x14ac:dyDescent="0.2">
      <c r="A77" s="133" t="s">
        <v>451</v>
      </c>
      <c r="B77" s="164" t="s">
        <v>39</v>
      </c>
      <c r="C77" s="134" t="s">
        <v>486</v>
      </c>
      <c r="D77" s="224" t="s">
        <v>487</v>
      </c>
      <c r="E77" s="225" t="s">
        <v>124</v>
      </c>
      <c r="F77" s="165">
        <f>11.22+11.22+16.98+8+8+8.96+12.38+11.7+88.86+11.2+11.5+28.31+13.72+10.45+16.8</f>
        <v>269.29999999999995</v>
      </c>
      <c r="G77" s="166" t="s">
        <v>509</v>
      </c>
      <c r="H77" s="105"/>
      <c r="I77" s="52"/>
    </row>
    <row r="78" spans="1:9" s="87" customFormat="1" ht="22.5" x14ac:dyDescent="0.2">
      <c r="A78" s="133" t="s">
        <v>452</v>
      </c>
      <c r="B78" s="164" t="s">
        <v>39</v>
      </c>
      <c r="C78" s="133" t="s">
        <v>66</v>
      </c>
      <c r="D78" s="224" t="s">
        <v>97</v>
      </c>
      <c r="E78" s="225" t="s">
        <v>124</v>
      </c>
      <c r="F78" s="165">
        <f>137.93</f>
        <v>137.93</v>
      </c>
      <c r="G78" s="166" t="s">
        <v>332</v>
      </c>
      <c r="H78" s="105"/>
      <c r="I78" s="52"/>
    </row>
    <row r="79" spans="1:9" s="87" customFormat="1" ht="22.5" x14ac:dyDescent="0.2">
      <c r="A79" s="133" t="s">
        <v>453</v>
      </c>
      <c r="B79" s="164" t="s">
        <v>39</v>
      </c>
      <c r="C79" s="133" t="s">
        <v>67</v>
      </c>
      <c r="D79" s="224" t="s">
        <v>98</v>
      </c>
      <c r="E79" s="225" t="s">
        <v>124</v>
      </c>
      <c r="F79" s="165">
        <f>12.15+4.13+7.15+0.72+11.99+4.98+2.88+6.68+4.23+4.86+4.88</f>
        <v>64.650000000000006</v>
      </c>
      <c r="G79" s="166" t="s">
        <v>356</v>
      </c>
      <c r="H79" s="105"/>
      <c r="I79" s="52"/>
    </row>
    <row r="80" spans="1:9" s="87" customFormat="1" ht="22.5" x14ac:dyDescent="0.2">
      <c r="A80" s="133" t="s">
        <v>454</v>
      </c>
      <c r="B80" s="164" t="s">
        <v>39</v>
      </c>
      <c r="C80" s="133" t="s">
        <v>357</v>
      </c>
      <c r="D80" s="224" t="s">
        <v>358</v>
      </c>
      <c r="E80" s="225" t="s">
        <v>124</v>
      </c>
      <c r="F80" s="165">
        <f>9.13+16.82+5.6+11.99</f>
        <v>43.540000000000006</v>
      </c>
      <c r="G80" s="166" t="s">
        <v>510</v>
      </c>
      <c r="H80" s="105"/>
      <c r="I80" s="52"/>
    </row>
    <row r="81" spans="1:9" s="87" customFormat="1" ht="11.25" x14ac:dyDescent="0.2">
      <c r="A81" s="133" t="s">
        <v>455</v>
      </c>
      <c r="B81" s="164" t="s">
        <v>39</v>
      </c>
      <c r="C81" s="133" t="s">
        <v>146</v>
      </c>
      <c r="D81" s="224" t="s">
        <v>147</v>
      </c>
      <c r="E81" s="225" t="s">
        <v>123</v>
      </c>
      <c r="F81" s="165">
        <v>10</v>
      </c>
      <c r="G81" s="166" t="s">
        <v>148</v>
      </c>
      <c r="H81" s="105"/>
      <c r="I81" s="52"/>
    </row>
    <row r="82" spans="1:9" s="87" customFormat="1" ht="22.5" x14ac:dyDescent="0.2">
      <c r="A82" s="133" t="s">
        <v>484</v>
      </c>
      <c r="B82" s="164" t="s">
        <v>39</v>
      </c>
      <c r="C82" s="133" t="s">
        <v>46</v>
      </c>
      <c r="D82" s="224" t="s">
        <v>99</v>
      </c>
      <c r="E82" s="225" t="s">
        <v>124</v>
      </c>
      <c r="F82" s="165">
        <f>10*1.5</f>
        <v>15</v>
      </c>
      <c r="G82" s="166" t="s">
        <v>511</v>
      </c>
      <c r="H82" s="105"/>
      <c r="I82" s="52"/>
    </row>
    <row r="83" spans="1:9" s="51" customFormat="1" ht="11.25" x14ac:dyDescent="0.2">
      <c r="A83" s="145" t="s">
        <v>228</v>
      </c>
      <c r="B83" s="142"/>
      <c r="C83" s="145"/>
      <c r="D83" s="150" t="s">
        <v>352</v>
      </c>
      <c r="E83" s="151"/>
      <c r="F83" s="148"/>
      <c r="G83" s="149"/>
      <c r="H83" s="105"/>
      <c r="I83" s="52"/>
    </row>
    <row r="84" spans="1:9" s="87" customFormat="1" ht="22.5" x14ac:dyDescent="0.2">
      <c r="A84" s="133" t="s">
        <v>456</v>
      </c>
      <c r="B84" s="164" t="s">
        <v>39</v>
      </c>
      <c r="C84" s="164" t="s">
        <v>350</v>
      </c>
      <c r="D84" s="223" t="s">
        <v>351</v>
      </c>
      <c r="E84" s="225" t="s">
        <v>31</v>
      </c>
      <c r="F84" s="165">
        <f>(0.15*0.65*2)+(0.15*0.8*5)+(0.23*0.8*4)</f>
        <v>1.5310000000000001</v>
      </c>
      <c r="G84" s="166" t="s">
        <v>512</v>
      </c>
      <c r="H84" s="105"/>
      <c r="I84" s="52"/>
    </row>
    <row r="85" spans="1:9" s="51" customFormat="1" ht="11.25" x14ac:dyDescent="0.2">
      <c r="A85" s="145" t="s">
        <v>229</v>
      </c>
      <c r="B85" s="142"/>
      <c r="C85" s="145"/>
      <c r="D85" s="150" t="s">
        <v>100</v>
      </c>
      <c r="E85" s="151"/>
      <c r="F85" s="148"/>
      <c r="G85" s="149"/>
      <c r="H85" s="105"/>
      <c r="I85" s="52"/>
    </row>
    <row r="86" spans="1:9" s="87" customFormat="1" ht="22.5" x14ac:dyDescent="0.2">
      <c r="A86" s="133" t="s">
        <v>424</v>
      </c>
      <c r="B86" s="164" t="s">
        <v>39</v>
      </c>
      <c r="C86" s="133" t="s">
        <v>333</v>
      </c>
      <c r="D86" s="224" t="s">
        <v>334</v>
      </c>
      <c r="E86" s="220" t="s">
        <v>123</v>
      </c>
      <c r="F86" s="165">
        <v>34</v>
      </c>
      <c r="G86" s="166" t="s">
        <v>513</v>
      </c>
      <c r="H86" s="105"/>
      <c r="I86" s="52"/>
    </row>
    <row r="87" spans="1:9" s="87" customFormat="1" ht="11.25" x14ac:dyDescent="0.2">
      <c r="A87" s="133" t="s">
        <v>425</v>
      </c>
      <c r="B87" s="164" t="s">
        <v>39</v>
      </c>
      <c r="C87" s="133" t="s">
        <v>335</v>
      </c>
      <c r="D87" s="224" t="s">
        <v>353</v>
      </c>
      <c r="E87" s="220" t="s">
        <v>123</v>
      </c>
      <c r="F87" s="165">
        <v>34</v>
      </c>
      <c r="G87" s="166" t="s">
        <v>359</v>
      </c>
      <c r="H87" s="105"/>
      <c r="I87" s="52"/>
    </row>
    <row r="88" spans="1:9" s="87" customFormat="1" ht="11.25" x14ac:dyDescent="0.2">
      <c r="A88" s="133" t="s">
        <v>426</v>
      </c>
      <c r="B88" s="164" t="s">
        <v>39</v>
      </c>
      <c r="C88" s="134" t="s">
        <v>336</v>
      </c>
      <c r="D88" s="171" t="s">
        <v>337</v>
      </c>
      <c r="E88" s="225" t="s">
        <v>31</v>
      </c>
      <c r="F88" s="165">
        <f>2*1.5*1+2*2*1</f>
        <v>7</v>
      </c>
      <c r="G88" s="166" t="s">
        <v>514</v>
      </c>
      <c r="H88" s="105"/>
      <c r="I88" s="52"/>
    </row>
    <row r="89" spans="1:9" s="87" customFormat="1" ht="22.5" x14ac:dyDescent="0.2">
      <c r="A89" s="133" t="s">
        <v>427</v>
      </c>
      <c r="B89" s="164" t="s">
        <v>39</v>
      </c>
      <c r="C89" s="134" t="s">
        <v>338</v>
      </c>
      <c r="D89" s="171" t="s">
        <v>339</v>
      </c>
      <c r="E89" s="225" t="s">
        <v>31</v>
      </c>
      <c r="F89" s="165">
        <f>3*0.8*0.6</f>
        <v>1.4400000000000002</v>
      </c>
      <c r="G89" s="166" t="s">
        <v>515</v>
      </c>
      <c r="H89" s="105"/>
      <c r="I89" s="52"/>
    </row>
    <row r="90" spans="1:9" s="87" customFormat="1" ht="33.75" x14ac:dyDescent="0.2">
      <c r="A90" s="133" t="s">
        <v>428</v>
      </c>
      <c r="B90" s="228" t="s">
        <v>39</v>
      </c>
      <c r="C90" s="217" t="s">
        <v>340</v>
      </c>
      <c r="D90" s="229" t="s">
        <v>341</v>
      </c>
      <c r="E90" s="230" t="s">
        <v>31</v>
      </c>
      <c r="F90" s="231">
        <f>F88+F89</f>
        <v>8.44</v>
      </c>
      <c r="G90" s="232" t="s">
        <v>360</v>
      </c>
      <c r="H90" s="105"/>
      <c r="I90" s="52"/>
    </row>
    <row r="91" spans="1:9" s="87" customFormat="1" ht="33.75" x14ac:dyDescent="0.2">
      <c r="A91" s="133" t="s">
        <v>429</v>
      </c>
      <c r="B91" s="164" t="s">
        <v>39</v>
      </c>
      <c r="C91" s="133" t="s">
        <v>342</v>
      </c>
      <c r="D91" s="224" t="s">
        <v>343</v>
      </c>
      <c r="E91" s="225" t="s">
        <v>31</v>
      </c>
      <c r="F91" s="165">
        <f>(3.9*0.53*2)+(1.7*0.53)+(1.52*0.53)+(4*4.75*0.5)+(1.2*0.53)</f>
        <v>15.976599999999999</v>
      </c>
      <c r="G91" s="166" t="s">
        <v>518</v>
      </c>
      <c r="H91" s="105"/>
      <c r="I91" s="52"/>
    </row>
    <row r="92" spans="1:9" s="87" customFormat="1" ht="22.5" x14ac:dyDescent="0.2">
      <c r="A92" s="133" t="s">
        <v>430</v>
      </c>
      <c r="B92" s="164" t="s">
        <v>39</v>
      </c>
      <c r="C92" s="133" t="s">
        <v>344</v>
      </c>
      <c r="D92" s="224" t="s">
        <v>345</v>
      </c>
      <c r="E92" s="225" t="s">
        <v>31</v>
      </c>
      <c r="F92" s="165">
        <f>2*2</f>
        <v>4</v>
      </c>
      <c r="G92" s="166" t="s">
        <v>516</v>
      </c>
      <c r="H92" s="105"/>
      <c r="I92" s="52"/>
    </row>
    <row r="93" spans="1:9" s="87" customFormat="1" ht="11.25" x14ac:dyDescent="0.2">
      <c r="A93" s="133" t="s">
        <v>431</v>
      </c>
      <c r="B93" s="164" t="s">
        <v>39</v>
      </c>
      <c r="C93" s="133" t="s">
        <v>68</v>
      </c>
      <c r="D93" s="224" t="s">
        <v>101</v>
      </c>
      <c r="E93" s="220" t="s">
        <v>123</v>
      </c>
      <c r="F93" s="165">
        <v>22</v>
      </c>
      <c r="G93" s="166" t="s">
        <v>517</v>
      </c>
      <c r="H93" s="105"/>
      <c r="I93" s="52"/>
    </row>
    <row r="94" spans="1:9" s="87" customFormat="1" ht="11.25" x14ac:dyDescent="0.2">
      <c r="A94" s="133" t="s">
        <v>432</v>
      </c>
      <c r="B94" s="164" t="s">
        <v>39</v>
      </c>
      <c r="C94" s="133" t="s">
        <v>69</v>
      </c>
      <c r="D94" s="224" t="s">
        <v>102</v>
      </c>
      <c r="E94" s="220" t="s">
        <v>123</v>
      </c>
      <c r="F94" s="165">
        <v>8</v>
      </c>
      <c r="G94" s="166" t="s">
        <v>361</v>
      </c>
      <c r="H94" s="105"/>
      <c r="I94" s="52"/>
    </row>
    <row r="95" spans="1:9" s="87" customFormat="1" ht="67.5" x14ac:dyDescent="0.2">
      <c r="A95" s="133" t="s">
        <v>433</v>
      </c>
      <c r="B95" s="164" t="s">
        <v>39</v>
      </c>
      <c r="C95" s="133" t="s">
        <v>520</v>
      </c>
      <c r="D95" s="224" t="s">
        <v>519</v>
      </c>
      <c r="E95" s="220" t="s">
        <v>123</v>
      </c>
      <c r="F95" s="165">
        <v>16</v>
      </c>
      <c r="G95" s="166" t="s">
        <v>557</v>
      </c>
      <c r="H95" s="105"/>
      <c r="I95" s="52"/>
    </row>
    <row r="96" spans="1:9" s="87" customFormat="1" ht="22.5" x14ac:dyDescent="0.2">
      <c r="A96" s="133" t="s">
        <v>434</v>
      </c>
      <c r="B96" s="164" t="s">
        <v>39</v>
      </c>
      <c r="C96" s="133" t="s">
        <v>70</v>
      </c>
      <c r="D96" s="224" t="s">
        <v>103</v>
      </c>
      <c r="E96" s="220" t="s">
        <v>123</v>
      </c>
      <c r="F96" s="165">
        <v>22</v>
      </c>
      <c r="G96" s="166" t="s">
        <v>517</v>
      </c>
      <c r="H96" s="105"/>
      <c r="I96" s="52"/>
    </row>
    <row r="97" spans="1:9" s="87" customFormat="1" ht="45" x14ac:dyDescent="0.2">
      <c r="A97" s="133" t="s">
        <v>435</v>
      </c>
      <c r="B97" s="164" t="s">
        <v>39</v>
      </c>
      <c r="C97" s="133" t="s">
        <v>346</v>
      </c>
      <c r="D97" s="224" t="s">
        <v>347</v>
      </c>
      <c r="E97" s="220" t="s">
        <v>123</v>
      </c>
      <c r="F97" s="165">
        <v>4</v>
      </c>
      <c r="G97" s="166" t="s">
        <v>558</v>
      </c>
      <c r="H97" s="105"/>
      <c r="I97" s="52"/>
    </row>
    <row r="98" spans="1:9" s="87" customFormat="1" ht="33.75" x14ac:dyDescent="0.2">
      <c r="A98" s="133" t="s">
        <v>436</v>
      </c>
      <c r="B98" s="164" t="s">
        <v>39</v>
      </c>
      <c r="C98" s="133" t="s">
        <v>48</v>
      </c>
      <c r="D98" s="224" t="s">
        <v>104</v>
      </c>
      <c r="E98" s="220" t="s">
        <v>123</v>
      </c>
      <c r="F98" s="165">
        <v>16</v>
      </c>
      <c r="G98" s="166" t="s">
        <v>557</v>
      </c>
      <c r="H98" s="105"/>
      <c r="I98" s="52"/>
    </row>
    <row r="99" spans="1:9" s="87" customFormat="1" ht="22.5" x14ac:dyDescent="0.2">
      <c r="A99" s="133" t="s">
        <v>437</v>
      </c>
      <c r="B99" s="164" t="s">
        <v>39</v>
      </c>
      <c r="C99" s="133" t="s">
        <v>71</v>
      </c>
      <c r="D99" s="224" t="s">
        <v>105</v>
      </c>
      <c r="E99" s="220" t="s">
        <v>123</v>
      </c>
      <c r="F99" s="165">
        <v>4</v>
      </c>
      <c r="G99" s="166" t="s">
        <v>558</v>
      </c>
      <c r="H99" s="105"/>
      <c r="I99" s="52"/>
    </row>
    <row r="100" spans="1:9" s="87" customFormat="1" ht="22.5" x14ac:dyDescent="0.2">
      <c r="A100" s="133" t="s">
        <v>438</v>
      </c>
      <c r="B100" s="164" t="s">
        <v>39</v>
      </c>
      <c r="C100" s="133" t="s">
        <v>72</v>
      </c>
      <c r="D100" s="224" t="s">
        <v>106</v>
      </c>
      <c r="E100" s="220" t="s">
        <v>123</v>
      </c>
      <c r="F100" s="165">
        <v>1</v>
      </c>
      <c r="G100" s="166" t="s">
        <v>240</v>
      </c>
      <c r="H100" s="105"/>
      <c r="I100" s="52"/>
    </row>
    <row r="101" spans="1:9" s="87" customFormat="1" ht="33.75" x14ac:dyDescent="0.2">
      <c r="A101" s="133" t="s">
        <v>439</v>
      </c>
      <c r="B101" s="164" t="s">
        <v>39</v>
      </c>
      <c r="C101" s="133" t="s">
        <v>73</v>
      </c>
      <c r="D101" s="224" t="s">
        <v>107</v>
      </c>
      <c r="E101" s="220" t="s">
        <v>123</v>
      </c>
      <c r="F101" s="165">
        <v>1</v>
      </c>
      <c r="G101" s="166" t="s">
        <v>239</v>
      </c>
      <c r="H101" s="105"/>
      <c r="I101" s="52"/>
    </row>
    <row r="102" spans="1:9" s="87" customFormat="1" ht="45" x14ac:dyDescent="0.2">
      <c r="A102" s="133" t="s">
        <v>440</v>
      </c>
      <c r="B102" s="164" t="s">
        <v>39</v>
      </c>
      <c r="C102" s="133" t="s">
        <v>348</v>
      </c>
      <c r="D102" s="224" t="s">
        <v>349</v>
      </c>
      <c r="E102" s="220" t="s">
        <v>123</v>
      </c>
      <c r="F102" s="165">
        <v>2</v>
      </c>
      <c r="G102" s="166" t="s">
        <v>362</v>
      </c>
      <c r="H102" s="105"/>
      <c r="I102" s="52"/>
    </row>
    <row r="103" spans="1:9" s="87" customFormat="1" ht="78.75" x14ac:dyDescent="0.2">
      <c r="A103" s="133" t="s">
        <v>441</v>
      </c>
      <c r="B103" s="164" t="s">
        <v>39</v>
      </c>
      <c r="C103" s="133" t="s">
        <v>354</v>
      </c>
      <c r="D103" s="224" t="s">
        <v>355</v>
      </c>
      <c r="E103" s="220" t="s">
        <v>123</v>
      </c>
      <c r="F103" s="165">
        <v>5</v>
      </c>
      <c r="G103" s="166" t="s">
        <v>362</v>
      </c>
      <c r="H103" s="105"/>
      <c r="I103" s="52"/>
    </row>
    <row r="104" spans="1:9" s="87" customFormat="1" ht="11.25" x14ac:dyDescent="0.2">
      <c r="A104" s="133" t="s">
        <v>442</v>
      </c>
      <c r="B104" s="164" t="s">
        <v>39</v>
      </c>
      <c r="C104" s="133" t="s">
        <v>524</v>
      </c>
      <c r="D104" s="224" t="s">
        <v>523</v>
      </c>
      <c r="E104" s="220" t="s">
        <v>123</v>
      </c>
      <c r="F104" s="165">
        <v>3</v>
      </c>
      <c r="G104" s="166" t="s">
        <v>362</v>
      </c>
      <c r="H104" s="105"/>
      <c r="I104" s="52"/>
    </row>
    <row r="105" spans="1:9" s="87" customFormat="1" ht="22.5" x14ac:dyDescent="0.2">
      <c r="A105" s="133" t="s">
        <v>443</v>
      </c>
      <c r="B105" s="164" t="s">
        <v>39</v>
      </c>
      <c r="C105" s="134" t="s">
        <v>160</v>
      </c>
      <c r="D105" s="171" t="s">
        <v>159</v>
      </c>
      <c r="E105" s="220" t="s">
        <v>123</v>
      </c>
      <c r="F105" s="165">
        <v>6</v>
      </c>
      <c r="G105" s="166" t="s">
        <v>521</v>
      </c>
      <c r="H105" s="105"/>
      <c r="I105" s="52"/>
    </row>
    <row r="106" spans="1:9" s="87" customFormat="1" ht="22.5" x14ac:dyDescent="0.2">
      <c r="A106" s="133" t="s">
        <v>444</v>
      </c>
      <c r="B106" s="164" t="s">
        <v>39</v>
      </c>
      <c r="C106" s="134" t="s">
        <v>187</v>
      </c>
      <c r="D106" s="171" t="s">
        <v>186</v>
      </c>
      <c r="E106" s="220" t="s">
        <v>123</v>
      </c>
      <c r="F106" s="165">
        <v>2</v>
      </c>
      <c r="G106" s="166" t="s">
        <v>522</v>
      </c>
      <c r="H106" s="105"/>
      <c r="I106" s="52"/>
    </row>
    <row r="107" spans="1:9" s="87" customFormat="1" ht="33.75" x14ac:dyDescent="0.2">
      <c r="A107" s="133" t="s">
        <v>445</v>
      </c>
      <c r="B107" s="164" t="s">
        <v>39</v>
      </c>
      <c r="C107" s="134" t="s">
        <v>477</v>
      </c>
      <c r="D107" s="171" t="s">
        <v>478</v>
      </c>
      <c r="E107" s="220" t="s">
        <v>123</v>
      </c>
      <c r="F107" s="165">
        <v>5</v>
      </c>
      <c r="G107" s="166" t="s">
        <v>559</v>
      </c>
      <c r="H107" s="105"/>
      <c r="I107" s="52"/>
    </row>
    <row r="108" spans="1:9" s="87" customFormat="1" ht="11.25" x14ac:dyDescent="0.2">
      <c r="A108" s="133" t="s">
        <v>446</v>
      </c>
      <c r="B108" s="164" t="s">
        <v>39</v>
      </c>
      <c r="C108" s="134" t="s">
        <v>479</v>
      </c>
      <c r="D108" s="233" t="s">
        <v>480</v>
      </c>
      <c r="E108" s="220" t="s">
        <v>31</v>
      </c>
      <c r="F108" s="165">
        <f>2.85*2.4</f>
        <v>6.84</v>
      </c>
      <c r="G108" s="166" t="s">
        <v>525</v>
      </c>
      <c r="H108" s="105"/>
      <c r="I108" s="52"/>
    </row>
    <row r="109" spans="1:9" s="87" customFormat="1" ht="11.25" x14ac:dyDescent="0.2">
      <c r="A109" s="133" t="s">
        <v>447</v>
      </c>
      <c r="B109" s="164" t="s">
        <v>529</v>
      </c>
      <c r="C109" s="134">
        <v>190036</v>
      </c>
      <c r="D109" s="233" t="s">
        <v>528</v>
      </c>
      <c r="E109" s="220" t="s">
        <v>123</v>
      </c>
      <c r="F109" s="165">
        <v>2</v>
      </c>
      <c r="G109" s="166" t="s">
        <v>530</v>
      </c>
      <c r="H109" s="105"/>
      <c r="I109" s="52"/>
    </row>
    <row r="110" spans="1:9" s="51" customFormat="1" ht="11.25" x14ac:dyDescent="0.2">
      <c r="A110" s="145">
        <v>8</v>
      </c>
      <c r="B110" s="142"/>
      <c r="C110" s="145"/>
      <c r="D110" s="150" t="s">
        <v>108</v>
      </c>
      <c r="E110" s="151"/>
      <c r="F110" s="152"/>
      <c r="G110" s="153"/>
      <c r="H110" s="105"/>
      <c r="I110" s="52"/>
    </row>
    <row r="111" spans="1:9" s="87" customFormat="1" ht="33.75" x14ac:dyDescent="0.2">
      <c r="A111" s="133" t="s">
        <v>154</v>
      </c>
      <c r="B111" s="164" t="s">
        <v>39</v>
      </c>
      <c r="C111" s="164" t="s">
        <v>118</v>
      </c>
      <c r="D111" s="223" t="s">
        <v>119</v>
      </c>
      <c r="E111" s="234" t="s">
        <v>123</v>
      </c>
      <c r="F111" s="165">
        <v>15</v>
      </c>
      <c r="G111" s="166" t="s">
        <v>163</v>
      </c>
      <c r="H111" s="105"/>
      <c r="I111" s="52"/>
    </row>
    <row r="112" spans="1:9" s="87" customFormat="1" ht="33.75" x14ac:dyDescent="0.2">
      <c r="A112" s="133" t="s">
        <v>224</v>
      </c>
      <c r="B112" s="164" t="s">
        <v>39</v>
      </c>
      <c r="C112" s="217" t="s">
        <v>162</v>
      </c>
      <c r="D112" s="171" t="s">
        <v>161</v>
      </c>
      <c r="E112" s="234" t="s">
        <v>123</v>
      </c>
      <c r="F112" s="165">
        <v>50</v>
      </c>
      <c r="G112" s="166" t="s">
        <v>164</v>
      </c>
      <c r="H112" s="105"/>
      <c r="I112" s="52"/>
    </row>
    <row r="113" spans="1:9" s="87" customFormat="1" ht="67.5" x14ac:dyDescent="0.2">
      <c r="A113" s="133" t="s">
        <v>277</v>
      </c>
      <c r="B113" s="164" t="s">
        <v>39</v>
      </c>
      <c r="C113" s="134" t="s">
        <v>379</v>
      </c>
      <c r="D113" s="171" t="s">
        <v>380</v>
      </c>
      <c r="E113" s="234" t="s">
        <v>123</v>
      </c>
      <c r="F113" s="165">
        <f>F112+F111</f>
        <v>65</v>
      </c>
      <c r="G113" s="166" t="s">
        <v>381</v>
      </c>
      <c r="H113" s="105"/>
      <c r="I113" s="52"/>
    </row>
    <row r="114" spans="1:9" s="87" customFormat="1" ht="33.75" x14ac:dyDescent="0.2">
      <c r="A114" s="133" t="s">
        <v>278</v>
      </c>
      <c r="B114" s="164" t="s">
        <v>39</v>
      </c>
      <c r="C114" s="217" t="s">
        <v>384</v>
      </c>
      <c r="D114" s="171" t="s">
        <v>385</v>
      </c>
      <c r="E114" s="234" t="s">
        <v>123</v>
      </c>
      <c r="F114" s="165">
        <v>18</v>
      </c>
      <c r="G114" s="166" t="s">
        <v>165</v>
      </c>
      <c r="H114" s="105"/>
      <c r="I114" s="52"/>
    </row>
    <row r="115" spans="1:9" s="87" customFormat="1" ht="90" x14ac:dyDescent="0.2">
      <c r="A115" s="133" t="s">
        <v>279</v>
      </c>
      <c r="B115" s="164" t="s">
        <v>39</v>
      </c>
      <c r="C115" s="134" t="s">
        <v>377</v>
      </c>
      <c r="D115" s="235" t="s">
        <v>378</v>
      </c>
      <c r="E115" s="220" t="s">
        <v>123</v>
      </c>
      <c r="F115" s="165">
        <v>18</v>
      </c>
      <c r="G115" s="166" t="s">
        <v>165</v>
      </c>
      <c r="H115" s="105"/>
      <c r="I115" s="52"/>
    </row>
    <row r="116" spans="1:9" s="87" customFormat="1" ht="33.75" x14ac:dyDescent="0.2">
      <c r="A116" s="133" t="s">
        <v>280</v>
      </c>
      <c r="B116" s="164" t="s">
        <v>39</v>
      </c>
      <c r="C116" s="134" t="s">
        <v>167</v>
      </c>
      <c r="D116" s="236" t="s">
        <v>166</v>
      </c>
      <c r="E116" s="220" t="s">
        <v>123</v>
      </c>
      <c r="F116" s="165">
        <v>60</v>
      </c>
      <c r="G116" s="166" t="s">
        <v>165</v>
      </c>
      <c r="H116" s="105"/>
      <c r="I116" s="52"/>
    </row>
    <row r="117" spans="1:9" s="87" customFormat="1" ht="90" x14ac:dyDescent="0.2">
      <c r="A117" s="133" t="s">
        <v>281</v>
      </c>
      <c r="B117" s="164" t="s">
        <v>39</v>
      </c>
      <c r="C117" s="134" t="s">
        <v>382</v>
      </c>
      <c r="D117" s="236" t="s">
        <v>383</v>
      </c>
      <c r="E117" s="220" t="s">
        <v>123</v>
      </c>
      <c r="F117" s="165">
        <v>40</v>
      </c>
      <c r="G117" s="166" t="s">
        <v>165</v>
      </c>
      <c r="H117" s="105"/>
      <c r="I117" s="52"/>
    </row>
    <row r="118" spans="1:9" s="87" customFormat="1" ht="45" x14ac:dyDescent="0.2">
      <c r="A118" s="133" t="s">
        <v>282</v>
      </c>
      <c r="B118" s="164" t="s">
        <v>39</v>
      </c>
      <c r="C118" s="134" t="s">
        <v>242</v>
      </c>
      <c r="D118" s="236" t="s">
        <v>241</v>
      </c>
      <c r="E118" s="220" t="s">
        <v>123</v>
      </c>
      <c r="F118" s="165">
        <v>20</v>
      </c>
      <c r="G118" s="166" t="s">
        <v>165</v>
      </c>
      <c r="H118" s="105"/>
      <c r="I118" s="52"/>
    </row>
    <row r="119" spans="1:9" s="87" customFormat="1" ht="22.5" x14ac:dyDescent="0.2">
      <c r="A119" s="133" t="s">
        <v>283</v>
      </c>
      <c r="B119" s="164" t="s">
        <v>39</v>
      </c>
      <c r="C119" s="134" t="s">
        <v>387</v>
      </c>
      <c r="D119" s="236" t="s">
        <v>388</v>
      </c>
      <c r="E119" s="220" t="s">
        <v>124</v>
      </c>
      <c r="F119" s="165">
        <v>40</v>
      </c>
      <c r="G119" s="166" t="s">
        <v>389</v>
      </c>
      <c r="H119" s="105"/>
      <c r="I119" s="52"/>
    </row>
    <row r="120" spans="1:9" s="87" customFormat="1" ht="33.75" x14ac:dyDescent="0.2">
      <c r="A120" s="133" t="s">
        <v>284</v>
      </c>
      <c r="B120" s="164" t="s">
        <v>39</v>
      </c>
      <c r="C120" s="134" t="s">
        <v>391</v>
      </c>
      <c r="D120" s="236" t="s">
        <v>392</v>
      </c>
      <c r="E120" s="220" t="s">
        <v>124</v>
      </c>
      <c r="F120" s="165">
        <v>200</v>
      </c>
      <c r="G120" s="166" t="s">
        <v>389</v>
      </c>
      <c r="H120" s="105"/>
      <c r="I120" s="52"/>
    </row>
    <row r="121" spans="1:9" s="87" customFormat="1" ht="11.25" x14ac:dyDescent="0.2">
      <c r="A121" s="133" t="s">
        <v>285</v>
      </c>
      <c r="B121" s="164" t="s">
        <v>39</v>
      </c>
      <c r="C121" s="133" t="s">
        <v>74</v>
      </c>
      <c r="D121" s="224" t="s">
        <v>122</v>
      </c>
      <c r="E121" s="220" t="s">
        <v>123</v>
      </c>
      <c r="F121" s="165">
        <v>4</v>
      </c>
      <c r="G121" s="166" t="s">
        <v>371</v>
      </c>
      <c r="H121" s="105"/>
      <c r="I121" s="52"/>
    </row>
    <row r="122" spans="1:9" s="87" customFormat="1" ht="11.25" x14ac:dyDescent="0.2">
      <c r="A122" s="133" t="s">
        <v>286</v>
      </c>
      <c r="B122" s="164" t="s">
        <v>39</v>
      </c>
      <c r="C122" s="237" t="s">
        <v>363</v>
      </c>
      <c r="D122" s="224" t="s">
        <v>364</v>
      </c>
      <c r="E122" s="220" t="s">
        <v>123</v>
      </c>
      <c r="F122" s="165">
        <v>16</v>
      </c>
      <c r="G122" s="166" t="s">
        <v>372</v>
      </c>
      <c r="H122" s="105"/>
      <c r="I122" s="52"/>
    </row>
    <row r="123" spans="1:9" s="87" customFormat="1" ht="11.25" x14ac:dyDescent="0.2">
      <c r="A123" s="133" t="s">
        <v>287</v>
      </c>
      <c r="B123" s="164" t="s">
        <v>39</v>
      </c>
      <c r="C123" s="237" t="s">
        <v>365</v>
      </c>
      <c r="D123" s="224" t="s">
        <v>366</v>
      </c>
      <c r="E123" s="220" t="s">
        <v>123</v>
      </c>
      <c r="F123" s="165">
        <v>9</v>
      </c>
      <c r="G123" s="166" t="s">
        <v>373</v>
      </c>
      <c r="H123" s="105"/>
      <c r="I123" s="52"/>
    </row>
    <row r="124" spans="1:9" s="87" customFormat="1" ht="11.25" x14ac:dyDescent="0.2">
      <c r="A124" s="133" t="s">
        <v>288</v>
      </c>
      <c r="B124" s="164" t="s">
        <v>39</v>
      </c>
      <c r="C124" s="237" t="s">
        <v>369</v>
      </c>
      <c r="D124" s="224" t="s">
        <v>370</v>
      </c>
      <c r="E124" s="220" t="s">
        <v>123</v>
      </c>
      <c r="F124" s="165">
        <v>2</v>
      </c>
      <c r="G124" s="166" t="s">
        <v>374</v>
      </c>
      <c r="H124" s="105"/>
      <c r="I124" s="52"/>
    </row>
    <row r="125" spans="1:9" s="87" customFormat="1" ht="11.25" x14ac:dyDescent="0.2">
      <c r="A125" s="133" t="s">
        <v>289</v>
      </c>
      <c r="B125" s="164" t="s">
        <v>39</v>
      </c>
      <c r="C125" s="134" t="s">
        <v>367</v>
      </c>
      <c r="D125" s="238" t="s">
        <v>368</v>
      </c>
      <c r="E125" s="220" t="s">
        <v>123</v>
      </c>
      <c r="F125" s="165">
        <v>4</v>
      </c>
      <c r="G125" s="166" t="s">
        <v>390</v>
      </c>
      <c r="H125" s="105"/>
      <c r="I125" s="52"/>
    </row>
    <row r="126" spans="1:9" s="87" customFormat="1" ht="11.25" x14ac:dyDescent="0.2">
      <c r="A126" s="133" t="s">
        <v>290</v>
      </c>
      <c r="B126" s="164" t="s">
        <v>39</v>
      </c>
      <c r="C126" s="217" t="s">
        <v>375</v>
      </c>
      <c r="D126" s="235" t="s">
        <v>376</v>
      </c>
      <c r="E126" s="220" t="s">
        <v>123</v>
      </c>
      <c r="F126" s="165">
        <v>2</v>
      </c>
      <c r="G126" s="166" t="s">
        <v>526</v>
      </c>
      <c r="H126" s="105"/>
      <c r="I126" s="52"/>
    </row>
    <row r="127" spans="1:9" s="87" customFormat="1" ht="45" x14ac:dyDescent="0.2">
      <c r="A127" s="133" t="s">
        <v>291</v>
      </c>
      <c r="B127" s="164" t="s">
        <v>39</v>
      </c>
      <c r="C127" s="164" t="s">
        <v>243</v>
      </c>
      <c r="D127" s="223" t="s">
        <v>386</v>
      </c>
      <c r="E127" s="220" t="s">
        <v>123</v>
      </c>
      <c r="F127" s="165">
        <v>8</v>
      </c>
      <c r="G127" s="166" t="s">
        <v>395</v>
      </c>
      <c r="H127" s="105"/>
      <c r="I127" s="52"/>
    </row>
    <row r="128" spans="1:9" s="87" customFormat="1" ht="11.25" x14ac:dyDescent="0.2">
      <c r="A128" s="133" t="s">
        <v>292</v>
      </c>
      <c r="B128" s="164" t="s">
        <v>39</v>
      </c>
      <c r="C128" s="133" t="s">
        <v>75</v>
      </c>
      <c r="D128" s="224" t="s">
        <v>120</v>
      </c>
      <c r="E128" s="220" t="s">
        <v>123</v>
      </c>
      <c r="F128" s="165">
        <v>2</v>
      </c>
      <c r="G128" s="166" t="s">
        <v>121</v>
      </c>
      <c r="H128" s="105"/>
      <c r="I128" s="52"/>
    </row>
    <row r="129" spans="1:9" s="87" customFormat="1" ht="33.75" x14ac:dyDescent="0.2">
      <c r="A129" s="133" t="s">
        <v>293</v>
      </c>
      <c r="B129" s="164" t="s">
        <v>39</v>
      </c>
      <c r="C129" s="134" t="s">
        <v>393</v>
      </c>
      <c r="D129" s="183" t="s">
        <v>394</v>
      </c>
      <c r="E129" s="220" t="s">
        <v>123</v>
      </c>
      <c r="F129" s="165">
        <v>1</v>
      </c>
      <c r="G129" s="166" t="s">
        <v>527</v>
      </c>
      <c r="H129" s="105"/>
      <c r="I129" s="52"/>
    </row>
    <row r="130" spans="1:9" s="51" customFormat="1" ht="11.25" x14ac:dyDescent="0.2">
      <c r="A130" s="145">
        <v>9</v>
      </c>
      <c r="B130" s="142"/>
      <c r="C130" s="145"/>
      <c r="D130" s="150" t="s">
        <v>109</v>
      </c>
      <c r="E130" s="151"/>
      <c r="F130" s="148"/>
      <c r="G130" s="149"/>
      <c r="H130" s="105"/>
      <c r="I130" s="52"/>
    </row>
    <row r="131" spans="1:9" s="87" customFormat="1" ht="22.5" x14ac:dyDescent="0.2">
      <c r="A131" s="133" t="s">
        <v>189</v>
      </c>
      <c r="B131" s="164" t="s">
        <v>39</v>
      </c>
      <c r="C131" s="164" t="s">
        <v>125</v>
      </c>
      <c r="D131" s="223" t="s">
        <v>126</v>
      </c>
      <c r="E131" s="239" t="s">
        <v>123</v>
      </c>
      <c r="F131" s="165">
        <v>18</v>
      </c>
      <c r="G131" s="166" t="s">
        <v>531</v>
      </c>
      <c r="H131" s="105"/>
      <c r="I131" s="52"/>
    </row>
    <row r="132" spans="1:9" s="87" customFormat="1" ht="33.75" x14ac:dyDescent="0.2">
      <c r="A132" s="133" t="s">
        <v>190</v>
      </c>
      <c r="B132" s="164" t="s">
        <v>39</v>
      </c>
      <c r="C132" s="164" t="s">
        <v>131</v>
      </c>
      <c r="D132" s="223" t="s">
        <v>132</v>
      </c>
      <c r="E132" s="239" t="s">
        <v>123</v>
      </c>
      <c r="F132" s="165">
        <v>18</v>
      </c>
      <c r="G132" s="166" t="s">
        <v>532</v>
      </c>
      <c r="H132" s="105"/>
      <c r="I132" s="52"/>
    </row>
    <row r="133" spans="1:9" s="87" customFormat="1" ht="22.5" x14ac:dyDescent="0.2">
      <c r="A133" s="133" t="s">
        <v>191</v>
      </c>
      <c r="B133" s="164" t="s">
        <v>39</v>
      </c>
      <c r="C133" s="240" t="s">
        <v>171</v>
      </c>
      <c r="D133" s="227" t="s">
        <v>170</v>
      </c>
      <c r="E133" s="234" t="s">
        <v>123</v>
      </c>
      <c r="F133" s="165">
        <v>2</v>
      </c>
      <c r="G133" s="166" t="s">
        <v>249</v>
      </c>
      <c r="H133" s="105"/>
      <c r="I133" s="52"/>
    </row>
    <row r="134" spans="1:9" s="87" customFormat="1" ht="22.5" x14ac:dyDescent="0.2">
      <c r="A134" s="133" t="s">
        <v>244</v>
      </c>
      <c r="B134" s="164" t="s">
        <v>39</v>
      </c>
      <c r="C134" s="134" t="s">
        <v>128</v>
      </c>
      <c r="D134" s="241" t="s">
        <v>129</v>
      </c>
      <c r="E134" s="234" t="s">
        <v>123</v>
      </c>
      <c r="F134" s="165">
        <v>1</v>
      </c>
      <c r="G134" s="166" t="s">
        <v>172</v>
      </c>
      <c r="H134" s="105"/>
      <c r="I134" s="52"/>
    </row>
    <row r="135" spans="1:9" s="87" customFormat="1" ht="22.5" x14ac:dyDescent="0.2">
      <c r="A135" s="133" t="s">
        <v>245</v>
      </c>
      <c r="B135" s="164" t="s">
        <v>39</v>
      </c>
      <c r="C135" s="134" t="s">
        <v>247</v>
      </c>
      <c r="D135" s="171" t="s">
        <v>246</v>
      </c>
      <c r="E135" s="234" t="s">
        <v>123</v>
      </c>
      <c r="F135" s="165">
        <v>1</v>
      </c>
      <c r="G135" s="166" t="s">
        <v>248</v>
      </c>
      <c r="H135" s="105"/>
      <c r="I135" s="52"/>
    </row>
    <row r="136" spans="1:9" s="87" customFormat="1" ht="33.75" x14ac:dyDescent="0.2">
      <c r="A136" s="133" t="s">
        <v>410</v>
      </c>
      <c r="B136" s="164" t="s">
        <v>39</v>
      </c>
      <c r="C136" s="134" t="s">
        <v>176</v>
      </c>
      <c r="D136" s="227" t="s">
        <v>175</v>
      </c>
      <c r="E136" s="234" t="s">
        <v>123</v>
      </c>
      <c r="F136" s="165">
        <v>3</v>
      </c>
      <c r="G136" s="166" t="s">
        <v>177</v>
      </c>
      <c r="H136" s="105"/>
      <c r="I136" s="52"/>
    </row>
    <row r="137" spans="1:9" s="87" customFormat="1" ht="22.5" x14ac:dyDescent="0.2">
      <c r="A137" s="133" t="s">
        <v>411</v>
      </c>
      <c r="B137" s="164" t="s">
        <v>39</v>
      </c>
      <c r="C137" s="134" t="s">
        <v>169</v>
      </c>
      <c r="D137" s="241" t="s">
        <v>168</v>
      </c>
      <c r="E137" s="234" t="s">
        <v>123</v>
      </c>
      <c r="F137" s="165">
        <v>1</v>
      </c>
      <c r="G137" s="166" t="s">
        <v>130</v>
      </c>
      <c r="H137" s="105"/>
      <c r="I137" s="52"/>
    </row>
    <row r="138" spans="1:9" s="87" customFormat="1" ht="22.5" x14ac:dyDescent="0.2">
      <c r="A138" s="133" t="s">
        <v>412</v>
      </c>
      <c r="B138" s="164" t="s">
        <v>39</v>
      </c>
      <c r="C138" s="242" t="s">
        <v>174</v>
      </c>
      <c r="D138" s="171" t="s">
        <v>173</v>
      </c>
      <c r="E138" s="234" t="s">
        <v>123</v>
      </c>
      <c r="F138" s="165">
        <v>2</v>
      </c>
      <c r="G138" s="166" t="s">
        <v>250</v>
      </c>
      <c r="H138" s="105"/>
      <c r="I138" s="52"/>
    </row>
    <row r="139" spans="1:9" s="87" customFormat="1" ht="22.5" x14ac:dyDescent="0.2">
      <c r="A139" s="133" t="s">
        <v>413</v>
      </c>
      <c r="B139" s="164" t="s">
        <v>39</v>
      </c>
      <c r="C139" s="242" t="s">
        <v>252</v>
      </c>
      <c r="D139" s="171" t="s">
        <v>251</v>
      </c>
      <c r="E139" s="234" t="s">
        <v>123</v>
      </c>
      <c r="F139" s="165">
        <v>2</v>
      </c>
      <c r="G139" s="166" t="s">
        <v>248</v>
      </c>
      <c r="H139" s="105"/>
      <c r="I139" s="52"/>
    </row>
    <row r="140" spans="1:9" s="87" customFormat="1" ht="33.75" x14ac:dyDescent="0.2">
      <c r="A140" s="133" t="s">
        <v>414</v>
      </c>
      <c r="B140" s="164" t="s">
        <v>39</v>
      </c>
      <c r="C140" s="134" t="s">
        <v>396</v>
      </c>
      <c r="D140" s="171" t="s">
        <v>397</v>
      </c>
      <c r="E140" s="234" t="s">
        <v>123</v>
      </c>
      <c r="F140" s="165">
        <v>1</v>
      </c>
      <c r="G140" s="166" t="s">
        <v>127</v>
      </c>
      <c r="H140" s="105"/>
      <c r="I140" s="52"/>
    </row>
    <row r="141" spans="1:9" s="87" customFormat="1" ht="22.5" x14ac:dyDescent="0.2">
      <c r="A141" s="133" t="s">
        <v>415</v>
      </c>
      <c r="B141" s="164" t="s">
        <v>39</v>
      </c>
      <c r="C141" s="134" t="s">
        <v>179</v>
      </c>
      <c r="D141" s="227" t="s">
        <v>178</v>
      </c>
      <c r="E141" s="234" t="s">
        <v>124</v>
      </c>
      <c r="F141" s="165">
        <v>35</v>
      </c>
      <c r="G141" s="166" t="s">
        <v>180</v>
      </c>
      <c r="H141" s="105"/>
      <c r="I141" s="52"/>
    </row>
    <row r="142" spans="1:9" s="87" customFormat="1" ht="22.5" x14ac:dyDescent="0.2">
      <c r="A142" s="133" t="s">
        <v>416</v>
      </c>
      <c r="B142" s="164" t="s">
        <v>39</v>
      </c>
      <c r="C142" s="164" t="s">
        <v>133</v>
      </c>
      <c r="D142" s="223" t="s">
        <v>134</v>
      </c>
      <c r="E142" s="234" t="s">
        <v>123</v>
      </c>
      <c r="F142" s="165">
        <v>5</v>
      </c>
      <c r="G142" s="166" t="s">
        <v>533</v>
      </c>
      <c r="H142" s="105"/>
      <c r="I142" s="52"/>
    </row>
    <row r="143" spans="1:9" s="87" customFormat="1" ht="22.5" x14ac:dyDescent="0.2">
      <c r="A143" s="133" t="s">
        <v>417</v>
      </c>
      <c r="B143" s="164" t="s">
        <v>39</v>
      </c>
      <c r="C143" s="164" t="s">
        <v>135</v>
      </c>
      <c r="D143" s="223" t="s">
        <v>136</v>
      </c>
      <c r="E143" s="239" t="s">
        <v>123</v>
      </c>
      <c r="F143" s="165">
        <v>16</v>
      </c>
      <c r="G143" s="166" t="s">
        <v>255</v>
      </c>
      <c r="H143" s="105"/>
      <c r="I143" s="52"/>
    </row>
    <row r="144" spans="1:9" s="87" customFormat="1" ht="22.5" x14ac:dyDescent="0.2">
      <c r="A144" s="133" t="s">
        <v>418</v>
      </c>
      <c r="B144" s="164" t="s">
        <v>39</v>
      </c>
      <c r="C144" s="164" t="s">
        <v>137</v>
      </c>
      <c r="D144" s="223" t="s">
        <v>138</v>
      </c>
      <c r="E144" s="239" t="s">
        <v>123</v>
      </c>
      <c r="F144" s="165">
        <v>1</v>
      </c>
      <c r="G144" s="166" t="s">
        <v>256</v>
      </c>
      <c r="H144" s="105"/>
      <c r="I144" s="52"/>
    </row>
    <row r="145" spans="1:9" s="87" customFormat="1" ht="22.5" x14ac:dyDescent="0.2">
      <c r="A145" s="133" t="s">
        <v>419</v>
      </c>
      <c r="B145" s="164" t="s">
        <v>39</v>
      </c>
      <c r="C145" s="164" t="s">
        <v>141</v>
      </c>
      <c r="D145" s="223" t="s">
        <v>142</v>
      </c>
      <c r="E145" s="239" t="s">
        <v>124</v>
      </c>
      <c r="F145" s="165">
        <f>7*5</f>
        <v>35</v>
      </c>
      <c r="G145" s="166" t="s">
        <v>534</v>
      </c>
      <c r="H145" s="105"/>
      <c r="I145" s="52"/>
    </row>
    <row r="146" spans="1:9" s="87" customFormat="1" ht="11.25" x14ac:dyDescent="0.2">
      <c r="A146" s="133" t="s">
        <v>420</v>
      </c>
      <c r="B146" s="164" t="s">
        <v>39</v>
      </c>
      <c r="C146" s="164" t="s">
        <v>139</v>
      </c>
      <c r="D146" s="223" t="s">
        <v>140</v>
      </c>
      <c r="E146" s="239" t="s">
        <v>123</v>
      </c>
      <c r="F146" s="165">
        <v>1</v>
      </c>
      <c r="G146" s="166" t="s">
        <v>398</v>
      </c>
      <c r="H146" s="105"/>
      <c r="I146" s="52"/>
    </row>
    <row r="147" spans="1:9" s="87" customFormat="1" ht="22.5" x14ac:dyDescent="0.2">
      <c r="A147" s="133" t="s">
        <v>421</v>
      </c>
      <c r="B147" s="164" t="s">
        <v>39</v>
      </c>
      <c r="C147" s="164" t="s">
        <v>254</v>
      </c>
      <c r="D147" s="223" t="s">
        <v>253</v>
      </c>
      <c r="E147" s="234" t="s">
        <v>123</v>
      </c>
      <c r="F147" s="165">
        <v>12</v>
      </c>
      <c r="G147" s="166" t="s">
        <v>399</v>
      </c>
      <c r="H147" s="105"/>
      <c r="I147" s="52"/>
    </row>
    <row r="148" spans="1:9" s="87" customFormat="1" ht="45" x14ac:dyDescent="0.2">
      <c r="A148" s="133" t="s">
        <v>422</v>
      </c>
      <c r="B148" s="164" t="s">
        <v>39</v>
      </c>
      <c r="C148" s="164" t="s">
        <v>143</v>
      </c>
      <c r="D148" s="223" t="s">
        <v>144</v>
      </c>
      <c r="E148" s="239" t="s">
        <v>123</v>
      </c>
      <c r="F148" s="165">
        <v>5</v>
      </c>
      <c r="G148" s="166" t="s">
        <v>400</v>
      </c>
      <c r="H148" s="105"/>
      <c r="I148" s="52"/>
    </row>
    <row r="149" spans="1:9" s="87" customFormat="1" ht="22.5" x14ac:dyDescent="0.2">
      <c r="A149" s="133" t="s">
        <v>423</v>
      </c>
      <c r="B149" s="164" t="s">
        <v>39</v>
      </c>
      <c r="C149" s="134" t="s">
        <v>234</v>
      </c>
      <c r="D149" s="171" t="s">
        <v>233</v>
      </c>
      <c r="E149" s="239" t="s">
        <v>124</v>
      </c>
      <c r="F149" s="165">
        <v>60</v>
      </c>
      <c r="G149" s="166" t="s">
        <v>401</v>
      </c>
      <c r="H149" s="105"/>
      <c r="I149" s="52"/>
    </row>
    <row r="150" spans="1:9" s="87" customFormat="1" ht="11.25" x14ac:dyDescent="0.2">
      <c r="A150" s="145">
        <v>10</v>
      </c>
      <c r="B150" s="143"/>
      <c r="C150" s="135"/>
      <c r="D150" s="169" t="s">
        <v>192</v>
      </c>
      <c r="E150" s="147"/>
      <c r="F150" s="148"/>
      <c r="G150" s="149"/>
      <c r="H150" s="105"/>
      <c r="I150" s="52"/>
    </row>
    <row r="151" spans="1:9" s="87" customFormat="1" ht="22.5" x14ac:dyDescent="0.2">
      <c r="A151" s="133" t="s">
        <v>193</v>
      </c>
      <c r="B151" s="164" t="s">
        <v>39</v>
      </c>
      <c r="C151" s="134" t="s">
        <v>198</v>
      </c>
      <c r="D151" s="171" t="s">
        <v>197</v>
      </c>
      <c r="E151" s="170" t="s">
        <v>124</v>
      </c>
      <c r="F151" s="165">
        <v>86</v>
      </c>
      <c r="G151" s="166"/>
      <c r="H151" s="105"/>
      <c r="I151" s="52"/>
    </row>
    <row r="152" spans="1:9" s="87" customFormat="1" ht="11.25" x14ac:dyDescent="0.2">
      <c r="A152" s="133" t="s">
        <v>194</v>
      </c>
      <c r="B152" s="164" t="s">
        <v>39</v>
      </c>
      <c r="C152" s="134" t="s">
        <v>199</v>
      </c>
      <c r="D152" s="233" t="s">
        <v>200</v>
      </c>
      <c r="E152" s="170" t="s">
        <v>124</v>
      </c>
      <c r="F152" s="165">
        <v>86</v>
      </c>
      <c r="G152" s="166"/>
      <c r="H152" s="105"/>
      <c r="I152" s="52"/>
    </row>
    <row r="153" spans="1:9" s="87" customFormat="1" ht="33.75" x14ac:dyDescent="0.2">
      <c r="A153" s="133" t="s">
        <v>213</v>
      </c>
      <c r="B153" s="164" t="s">
        <v>39</v>
      </c>
      <c r="C153" s="134" t="s">
        <v>202</v>
      </c>
      <c r="D153" s="243" t="s">
        <v>201</v>
      </c>
      <c r="E153" s="170" t="s">
        <v>196</v>
      </c>
      <c r="F153" s="165">
        <v>8</v>
      </c>
      <c r="G153" s="166"/>
      <c r="H153" s="105"/>
      <c r="I153" s="52"/>
    </row>
    <row r="154" spans="1:9" s="87" customFormat="1" ht="33.75" x14ac:dyDescent="0.2">
      <c r="A154" s="133" t="s">
        <v>214</v>
      </c>
      <c r="B154" s="164" t="s">
        <v>39</v>
      </c>
      <c r="C154" s="134" t="s">
        <v>204</v>
      </c>
      <c r="D154" s="171" t="s">
        <v>203</v>
      </c>
      <c r="E154" s="170" t="s">
        <v>196</v>
      </c>
      <c r="F154" s="165">
        <v>2</v>
      </c>
      <c r="G154" s="166"/>
      <c r="H154" s="105"/>
      <c r="I154" s="52"/>
    </row>
    <row r="155" spans="1:9" s="87" customFormat="1" ht="33.75" x14ac:dyDescent="0.2">
      <c r="A155" s="133" t="s">
        <v>215</v>
      </c>
      <c r="B155" s="164" t="s">
        <v>39</v>
      </c>
      <c r="C155" s="134" t="s">
        <v>206</v>
      </c>
      <c r="D155" s="171" t="s">
        <v>205</v>
      </c>
      <c r="E155" s="170" t="s">
        <v>196</v>
      </c>
      <c r="F155" s="165">
        <v>8</v>
      </c>
      <c r="G155" s="166"/>
      <c r="H155" s="105"/>
      <c r="I155" s="52"/>
    </row>
    <row r="156" spans="1:9" s="87" customFormat="1" ht="22.5" x14ac:dyDescent="0.2">
      <c r="A156" s="133" t="s">
        <v>216</v>
      </c>
      <c r="B156" s="164" t="s">
        <v>39</v>
      </c>
      <c r="C156" s="134" t="s">
        <v>208</v>
      </c>
      <c r="D156" s="171" t="s">
        <v>207</v>
      </c>
      <c r="E156" s="244" t="s">
        <v>196</v>
      </c>
      <c r="F156" s="165">
        <v>2</v>
      </c>
      <c r="G156" s="166"/>
      <c r="H156" s="105"/>
      <c r="I156" s="52"/>
    </row>
    <row r="157" spans="1:9" s="87" customFormat="1" ht="22.5" x14ac:dyDescent="0.2">
      <c r="A157" s="133" t="s">
        <v>217</v>
      </c>
      <c r="B157" s="164" t="s">
        <v>39</v>
      </c>
      <c r="C157" s="134" t="s">
        <v>209</v>
      </c>
      <c r="D157" s="243" t="s">
        <v>210</v>
      </c>
      <c r="E157" s="170" t="s">
        <v>196</v>
      </c>
      <c r="F157" s="165">
        <v>2</v>
      </c>
      <c r="G157" s="166"/>
      <c r="H157" s="105"/>
      <c r="I157" s="52"/>
    </row>
    <row r="158" spans="1:9" s="87" customFormat="1" ht="22.5" x14ac:dyDescent="0.2">
      <c r="A158" s="133" t="s">
        <v>230</v>
      </c>
      <c r="B158" s="164" t="s">
        <v>39</v>
      </c>
      <c r="C158" s="134" t="s">
        <v>212</v>
      </c>
      <c r="D158" s="171" t="s">
        <v>211</v>
      </c>
      <c r="E158" s="170" t="s">
        <v>124</v>
      </c>
      <c r="F158" s="165">
        <v>45</v>
      </c>
      <c r="G158" s="166"/>
      <c r="H158" s="105"/>
      <c r="I158" s="52"/>
    </row>
    <row r="159" spans="1:9" s="87" customFormat="1" ht="11.25" x14ac:dyDescent="0.2">
      <c r="A159" s="145">
        <v>11</v>
      </c>
      <c r="B159" s="143"/>
      <c r="C159" s="135"/>
      <c r="D159" s="146" t="s">
        <v>110</v>
      </c>
      <c r="E159" s="147"/>
      <c r="F159" s="148"/>
      <c r="G159" s="149"/>
      <c r="H159" s="105"/>
      <c r="I159" s="52"/>
    </row>
    <row r="160" spans="1:9" s="87" customFormat="1" ht="11.25" x14ac:dyDescent="0.2">
      <c r="A160" s="133" t="s">
        <v>195</v>
      </c>
      <c r="B160" s="245" t="s">
        <v>39</v>
      </c>
      <c r="C160" s="164" t="s">
        <v>157</v>
      </c>
      <c r="D160" s="223" t="s">
        <v>145</v>
      </c>
      <c r="E160" s="234" t="s">
        <v>31</v>
      </c>
      <c r="F160" s="165">
        <v>700.54</v>
      </c>
      <c r="G160" s="246" t="s">
        <v>238</v>
      </c>
      <c r="H160" s="105"/>
      <c r="I160" s="52"/>
    </row>
    <row r="161" spans="1:9" s="87" customFormat="1" ht="11.25" x14ac:dyDescent="0.2">
      <c r="A161" s="184"/>
      <c r="B161" s="183"/>
      <c r="C161" s="183"/>
      <c r="D161" s="183"/>
      <c r="E161" s="183"/>
      <c r="F161" s="183"/>
      <c r="G161" s="185"/>
      <c r="H161" s="105"/>
      <c r="I161" s="52"/>
    </row>
    <row r="162" spans="1:9" s="87" customFormat="1" ht="11.25" x14ac:dyDescent="0.2">
      <c r="A162" s="129"/>
      <c r="G162" s="130"/>
      <c r="H162" s="105"/>
      <c r="I162" s="52"/>
    </row>
    <row r="163" spans="1:9" s="87" customFormat="1" ht="11.25" x14ac:dyDescent="0.2">
      <c r="A163" s="129"/>
      <c r="G163" s="130"/>
      <c r="H163" s="105"/>
      <c r="I163" s="52"/>
    </row>
    <row r="164" spans="1:9" s="87" customFormat="1" ht="11.25" x14ac:dyDescent="0.2">
      <c r="A164" s="129"/>
      <c r="G164" s="130"/>
      <c r="H164" s="105"/>
      <c r="I164" s="52"/>
    </row>
    <row r="165" spans="1:9" s="87" customFormat="1" ht="11.25" x14ac:dyDescent="0.2">
      <c r="A165" s="129"/>
      <c r="G165" s="130"/>
      <c r="H165" s="105"/>
      <c r="I165" s="52"/>
    </row>
    <row r="166" spans="1:9" ht="12.6" customHeight="1" x14ac:dyDescent="0.2">
      <c r="A166" s="122"/>
      <c r="F166" s="72"/>
      <c r="G166" s="73"/>
    </row>
    <row r="167" spans="1:9" ht="12.6" customHeight="1" x14ac:dyDescent="0.2">
      <c r="A167" s="122"/>
      <c r="F167" s="72"/>
      <c r="G167" s="73"/>
    </row>
    <row r="168" spans="1:9" x14ac:dyDescent="0.2">
      <c r="A168" s="122"/>
      <c r="B168" s="27"/>
      <c r="C168" s="27"/>
      <c r="D168" s="124"/>
      <c r="F168" s="72"/>
      <c r="G168" s="125"/>
    </row>
    <row r="169" spans="1:9" x14ac:dyDescent="0.2">
      <c r="A169" s="76"/>
      <c r="B169" s="27"/>
      <c r="C169" s="27"/>
      <c r="D169" s="61"/>
      <c r="F169" s="72"/>
      <c r="G169" s="118"/>
    </row>
    <row r="170" spans="1:9" x14ac:dyDescent="0.2">
      <c r="A170" s="277"/>
      <c r="B170" s="278"/>
      <c r="C170" s="278"/>
      <c r="D170" s="120"/>
      <c r="F170" s="72"/>
      <c r="G170" s="119"/>
    </row>
    <row r="171" spans="1:9" x14ac:dyDescent="0.2">
      <c r="A171" s="122"/>
      <c r="F171" s="72"/>
      <c r="G171" s="73"/>
    </row>
    <row r="172" spans="1:9" x14ac:dyDescent="0.2">
      <c r="A172" s="29"/>
      <c r="B172" s="30"/>
      <c r="C172" s="30"/>
      <c r="D172" s="24"/>
      <c r="E172" s="30"/>
      <c r="F172" s="74"/>
      <c r="G172" s="75"/>
    </row>
    <row r="181" spans="7:7" x14ac:dyDescent="0.2">
      <c r="G181" s="64"/>
    </row>
    <row r="182" spans="7:7" x14ac:dyDescent="0.2">
      <c r="G182" s="64"/>
    </row>
    <row r="183" spans="7:7" x14ac:dyDescent="0.2">
      <c r="G183" s="64"/>
    </row>
  </sheetData>
  <autoFilter ref="A7:G161" xr:uid="{00000000-0009-0000-0000-000001000000}"/>
  <mergeCells count="2">
    <mergeCell ref="A170:C170"/>
    <mergeCell ref="A1:G1"/>
  </mergeCells>
  <phoneticPr fontId="21" type="noConversion"/>
  <conditionalFormatting sqref="C76:C77">
    <cfRule type="expression" dxfId="1" priority="1" stopIfTrue="1">
      <formula>OR(#REF!="M",#REF!="A")</formula>
    </cfRule>
  </conditionalFormatting>
  <conditionalFormatting sqref="C108:C109">
    <cfRule type="expression" dxfId="0" priority="3" stopIfTrue="1">
      <formula>OR(#REF!="M",#REF!="A")</formula>
    </cfRule>
  </conditionalFormatting>
  <printOptions horizontalCentered="1"/>
  <pageMargins left="0.39370078740157483" right="0.39370078740157483" top="0.86614173228346458" bottom="0.78740157480314965" header="0.51181102362204722" footer="0.51181102362204722"/>
  <pageSetup paperSize="9" scale="83" fitToHeight="0" orientation="landscape" horizontalDpi="4294967293" r:id="rId1"/>
  <headerFooter alignWithMargins="0">
    <oddFooter>Página &amp;P de &amp;N</oddFooter>
  </headerFooter>
  <rowBreaks count="2" manualBreakCount="2">
    <brk id="130" max="16383" man="1"/>
    <brk id="14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N41"/>
  <sheetViews>
    <sheetView showGridLines="0" tabSelected="1" view="pageBreakPreview" zoomScale="75" zoomScaleNormal="75" zoomScaleSheetLayoutView="75" workbookViewId="0">
      <pane xSplit="2" ySplit="7" topLeftCell="C8" activePane="bottomRight" state="frozen"/>
      <selection pane="topRight" activeCell="C1" sqref="C1"/>
      <selection pane="bottomLeft" activeCell="A8" sqref="A8"/>
      <selection pane="bottomRight" activeCell="I37" sqref="B34:I37"/>
    </sheetView>
  </sheetViews>
  <sheetFormatPr defaultColWidth="9.140625" defaultRowHeight="12.75" x14ac:dyDescent="0.2"/>
  <cols>
    <col min="1" max="1" width="6.85546875" style="13" customWidth="1"/>
    <col min="2" max="2" width="50" style="80" customWidth="1"/>
    <col min="3" max="3" width="19.140625" style="13" bestFit="1" customWidth="1"/>
    <col min="4" max="4" width="21.140625" style="13" customWidth="1"/>
    <col min="5" max="5" width="17.42578125" style="13" bestFit="1" customWidth="1"/>
    <col min="6" max="6" width="19.140625" style="13" bestFit="1" customWidth="1"/>
    <col min="7" max="10" width="19.140625" style="13" customWidth="1"/>
    <col min="11" max="11" width="17.42578125" style="13" bestFit="1" customWidth="1"/>
    <col min="12" max="12" width="20.85546875" style="13" bestFit="1" customWidth="1"/>
    <col min="13" max="13" width="9.140625" style="13"/>
    <col min="14" max="14" width="11" style="13" bestFit="1" customWidth="1"/>
    <col min="15" max="16384" width="9.140625" style="13"/>
  </cols>
  <sheetData>
    <row r="1" spans="1:14" ht="3" customHeight="1" x14ac:dyDescent="0.2">
      <c r="A1" s="41"/>
      <c r="B1" s="79"/>
      <c r="C1" s="42"/>
      <c r="D1" s="42"/>
      <c r="E1" s="42"/>
      <c r="F1" s="42"/>
      <c r="G1" s="42"/>
      <c r="H1" s="42"/>
      <c r="I1" s="42"/>
      <c r="J1" s="42"/>
      <c r="K1" s="42"/>
      <c r="L1" s="43"/>
    </row>
    <row r="2" spans="1:14" x14ac:dyDescent="0.2">
      <c r="A2" s="251" t="s">
        <v>151</v>
      </c>
      <c r="B2" s="252"/>
      <c r="C2" s="252"/>
      <c r="D2" s="252"/>
      <c r="E2" s="252"/>
      <c r="F2" s="252"/>
      <c r="G2" s="252"/>
      <c r="H2" s="252"/>
      <c r="I2" s="252"/>
      <c r="J2" s="252"/>
      <c r="K2" s="252"/>
      <c r="L2" s="253"/>
      <c r="M2" s="17"/>
    </row>
    <row r="3" spans="1:14" ht="3" customHeight="1" x14ac:dyDescent="0.2">
      <c r="A3" s="44"/>
      <c r="B3" s="71"/>
      <c r="C3" s="2"/>
      <c r="D3" s="2"/>
      <c r="E3" s="2"/>
      <c r="F3" s="2"/>
      <c r="G3" s="2"/>
      <c r="H3" s="2"/>
      <c r="I3" s="2"/>
      <c r="J3" s="2"/>
      <c r="K3" s="2"/>
      <c r="L3" s="45"/>
      <c r="M3" s="17"/>
    </row>
    <row r="4" spans="1:14" ht="11.25" customHeight="1" x14ac:dyDescent="0.2">
      <c r="A4" s="44" t="str">
        <f>'MM CALC'!A3</f>
        <v>PREFEITURA MUNICIPAL DE BONFINÓPOLIS DE MINAS</v>
      </c>
      <c r="B4" s="71"/>
      <c r="C4" s="2"/>
      <c r="D4" s="2"/>
      <c r="E4" s="2"/>
      <c r="F4" s="2"/>
      <c r="G4" s="2"/>
      <c r="H4" s="2"/>
      <c r="I4" s="2"/>
      <c r="J4" s="2"/>
      <c r="K4" s="2"/>
      <c r="L4" s="45"/>
      <c r="M4" s="17"/>
    </row>
    <row r="5" spans="1:14" x14ac:dyDescent="0.2">
      <c r="A5" s="44" t="str">
        <f>'MM CALC'!A4</f>
        <v>OBRA: REFORMA E AMPLIAÇÃO DO PSF VANDEIR JOSÉ BRANDÃO</v>
      </c>
      <c r="B5" s="71"/>
      <c r="E5" s="131" t="s">
        <v>150</v>
      </c>
      <c r="F5" s="106">
        <f>'PLAN ORÇ'!I164</f>
        <v>0</v>
      </c>
      <c r="G5" s="106"/>
      <c r="H5" s="106"/>
      <c r="I5" s="106"/>
      <c r="J5" s="106"/>
      <c r="K5" s="132"/>
      <c r="L5" s="1" t="str">
        <f>'MM CALC'!E3</f>
        <v>DATA:02/07/2024</v>
      </c>
    </row>
    <row r="6" spans="1:14" x14ac:dyDescent="0.2">
      <c r="A6" s="44" t="str">
        <f>'MM CALC'!A5</f>
        <v>LOCAL: RUA SÃO JOSÉ, 231, CENTRO, BONFINÓPOLIS DE MINAS-MG, CEP 38.650-000</v>
      </c>
      <c r="B6" s="71"/>
      <c r="C6" s="2"/>
      <c r="D6" s="2"/>
      <c r="E6" s="2"/>
      <c r="F6" s="2"/>
      <c r="G6" s="2"/>
      <c r="H6" s="2"/>
      <c r="I6" s="2"/>
      <c r="J6" s="2"/>
      <c r="K6" s="2"/>
      <c r="L6" s="45"/>
    </row>
    <row r="7" spans="1:14" ht="42.75" customHeight="1" x14ac:dyDescent="0.2">
      <c r="A7" s="96" t="s">
        <v>0</v>
      </c>
      <c r="B7" s="96" t="s">
        <v>1</v>
      </c>
      <c r="C7" s="100" t="s">
        <v>49</v>
      </c>
      <c r="D7" s="78" t="s">
        <v>19</v>
      </c>
      <c r="E7" s="78" t="s">
        <v>20</v>
      </c>
      <c r="F7" s="78" t="s">
        <v>26</v>
      </c>
      <c r="G7" s="78" t="s">
        <v>149</v>
      </c>
      <c r="H7" s="78" t="s">
        <v>488</v>
      </c>
      <c r="I7" s="78" t="s">
        <v>489</v>
      </c>
      <c r="J7" s="78" t="s">
        <v>490</v>
      </c>
      <c r="K7" s="78" t="s">
        <v>491</v>
      </c>
      <c r="L7" s="78" t="s">
        <v>8</v>
      </c>
    </row>
    <row r="8" spans="1:14" x14ac:dyDescent="0.2">
      <c r="A8" s="282">
        <f>'MM CALC'!A9</f>
        <v>1</v>
      </c>
      <c r="B8" s="286" t="str">
        <f>'MM CALC'!D9</f>
        <v>ADMINISTRAÇÃO LOCAL, CANTEIRO DE OBRAS E MOBILIZAÇÃO E DESMOBILIZAÇÃO</v>
      </c>
      <c r="C8" s="40" t="e">
        <f>C9/$C$31</f>
        <v>#DIV/0!</v>
      </c>
      <c r="D8" s="40">
        <v>0.2</v>
      </c>
      <c r="E8" s="40">
        <v>0.1</v>
      </c>
      <c r="F8" s="40">
        <v>0.1</v>
      </c>
      <c r="G8" s="40">
        <v>0.1</v>
      </c>
      <c r="H8" s="40">
        <v>0.1</v>
      </c>
      <c r="I8" s="40">
        <v>0.1</v>
      </c>
      <c r="J8" s="40">
        <v>0.1</v>
      </c>
      <c r="K8" s="40">
        <v>0.2</v>
      </c>
      <c r="L8" s="203">
        <f>SUM(D8:K8)</f>
        <v>1</v>
      </c>
    </row>
    <row r="9" spans="1:14" x14ac:dyDescent="0.2">
      <c r="A9" s="283"/>
      <c r="B9" s="285"/>
      <c r="C9" s="35">
        <f>'PLAN ORÇ'!I12</f>
        <v>0</v>
      </c>
      <c r="D9" s="35">
        <f>C9*D8</f>
        <v>0</v>
      </c>
      <c r="E9" s="35">
        <f>C9*E8</f>
        <v>0</v>
      </c>
      <c r="F9" s="35">
        <f>C9*F8</f>
        <v>0</v>
      </c>
      <c r="G9" s="35">
        <f>C9*G8</f>
        <v>0</v>
      </c>
      <c r="H9" s="35">
        <f>C9*H8</f>
        <v>0</v>
      </c>
      <c r="I9" s="35">
        <f>C9*I8</f>
        <v>0</v>
      </c>
      <c r="J9" s="35">
        <f>C9*J8</f>
        <v>0</v>
      </c>
      <c r="K9" s="35">
        <f>C9*K8</f>
        <v>0</v>
      </c>
      <c r="L9" s="204">
        <f>SUM(D9:K9)</f>
        <v>0</v>
      </c>
    </row>
    <row r="10" spans="1:14" x14ac:dyDescent="0.2">
      <c r="A10" s="287">
        <f>'MM CALC'!A12</f>
        <v>2</v>
      </c>
      <c r="B10" s="284" t="s">
        <v>257</v>
      </c>
      <c r="C10" s="40" t="e">
        <f>C11/$C$31</f>
        <v>#DIV/0!</v>
      </c>
      <c r="D10" s="40">
        <v>1</v>
      </c>
      <c r="E10" s="40">
        <v>0</v>
      </c>
      <c r="F10" s="40" t="e">
        <f t="shared" ref="F10:K10" si="0">F11/$C$31</f>
        <v>#DIV/0!</v>
      </c>
      <c r="G10" s="40" t="e">
        <f t="shared" si="0"/>
        <v>#DIV/0!</v>
      </c>
      <c r="H10" s="40" t="e">
        <f t="shared" si="0"/>
        <v>#DIV/0!</v>
      </c>
      <c r="I10" s="40" t="e">
        <f t="shared" si="0"/>
        <v>#DIV/0!</v>
      </c>
      <c r="J10" s="40" t="e">
        <f t="shared" si="0"/>
        <v>#DIV/0!</v>
      </c>
      <c r="K10" s="40" t="e">
        <f t="shared" si="0"/>
        <v>#DIV/0!</v>
      </c>
      <c r="L10" s="40" t="e">
        <f>SUM(D10:K10)</f>
        <v>#DIV/0!</v>
      </c>
    </row>
    <row r="11" spans="1:14" x14ac:dyDescent="0.2">
      <c r="A11" s="287"/>
      <c r="B11" s="285"/>
      <c r="C11" s="35">
        <f>'PLAN ORÇ'!I15</f>
        <v>0</v>
      </c>
      <c r="D11" s="35">
        <f>C11</f>
        <v>0</v>
      </c>
      <c r="E11" s="35">
        <f>D11*E10</f>
        <v>0</v>
      </c>
      <c r="F11" s="35">
        <f t="shared" ref="F11:K11" si="1">E11</f>
        <v>0</v>
      </c>
      <c r="G11" s="35">
        <f t="shared" si="1"/>
        <v>0</v>
      </c>
      <c r="H11" s="35">
        <f t="shared" si="1"/>
        <v>0</v>
      </c>
      <c r="I11" s="35">
        <f t="shared" si="1"/>
        <v>0</v>
      </c>
      <c r="J11" s="35">
        <f t="shared" si="1"/>
        <v>0</v>
      </c>
      <c r="K11" s="35">
        <f t="shared" si="1"/>
        <v>0</v>
      </c>
      <c r="L11" s="35">
        <f>ROUND(SUM(D11:K11),2)</f>
        <v>0</v>
      </c>
      <c r="N11" s="46"/>
    </row>
    <row r="12" spans="1:14" x14ac:dyDescent="0.2">
      <c r="A12" s="282">
        <f>'MM CALC'!A21</f>
        <v>3</v>
      </c>
      <c r="B12" s="284" t="s">
        <v>76</v>
      </c>
      <c r="C12" s="40" t="e">
        <f>C13/$C$31</f>
        <v>#DIV/0!</v>
      </c>
      <c r="D12" s="40">
        <v>1</v>
      </c>
      <c r="E12" s="40"/>
      <c r="F12" s="40"/>
      <c r="G12" s="40"/>
      <c r="H12" s="40"/>
      <c r="I12" s="40"/>
      <c r="J12" s="40"/>
      <c r="K12" s="40"/>
      <c r="L12" s="40">
        <f>SUM(D12:K12)</f>
        <v>1</v>
      </c>
    </row>
    <row r="13" spans="1:14" ht="30" customHeight="1" x14ac:dyDescent="0.2">
      <c r="A13" s="283"/>
      <c r="B13" s="285"/>
      <c r="C13" s="35">
        <f>'PLAN ORÇ'!I24</f>
        <v>0</v>
      </c>
      <c r="D13" s="35">
        <f>C13</f>
        <v>0</v>
      </c>
      <c r="E13" s="35"/>
      <c r="F13" s="35"/>
      <c r="G13" s="35"/>
      <c r="H13" s="35"/>
      <c r="I13" s="35"/>
      <c r="J13" s="35"/>
      <c r="K13" s="35"/>
      <c r="L13" s="35">
        <f>ROUND(SUM(D13:K13),2)</f>
        <v>0</v>
      </c>
      <c r="N13" s="46"/>
    </row>
    <row r="14" spans="1:14" ht="12.75" customHeight="1" x14ac:dyDescent="0.2">
      <c r="A14" s="282">
        <v>4</v>
      </c>
      <c r="B14" s="284" t="s">
        <v>307</v>
      </c>
      <c r="C14" s="40" t="e">
        <f>C15/$C$31</f>
        <v>#DIV/0!</v>
      </c>
      <c r="D14" s="40">
        <v>0.4</v>
      </c>
      <c r="E14" s="40">
        <v>0.6</v>
      </c>
      <c r="F14" s="40"/>
      <c r="G14" s="40"/>
      <c r="H14" s="40"/>
      <c r="I14" s="40"/>
      <c r="J14" s="40"/>
      <c r="K14" s="40"/>
      <c r="L14" s="40">
        <f>SUM(D14:K14)</f>
        <v>1</v>
      </c>
    </row>
    <row r="15" spans="1:14" x14ac:dyDescent="0.2">
      <c r="A15" s="283"/>
      <c r="B15" s="285"/>
      <c r="C15" s="35">
        <f>'PLAN ORÇ'!I28</f>
        <v>0</v>
      </c>
      <c r="D15" s="35">
        <f>C15*D14</f>
        <v>0</v>
      </c>
      <c r="E15" s="35">
        <f>C15*E14</f>
        <v>0</v>
      </c>
      <c r="F15" s="35"/>
      <c r="G15" s="35"/>
      <c r="H15" s="35"/>
      <c r="I15" s="35"/>
      <c r="J15" s="35"/>
      <c r="K15" s="35"/>
      <c r="L15" s="35">
        <f>ROUND(SUM(D15:K15),2)</f>
        <v>0</v>
      </c>
      <c r="N15" s="46"/>
    </row>
    <row r="16" spans="1:14" ht="12.75" customHeight="1" x14ac:dyDescent="0.2">
      <c r="A16" s="282">
        <v>5</v>
      </c>
      <c r="B16" s="284" t="s">
        <v>77</v>
      </c>
      <c r="C16" s="40" t="e">
        <f>C17/$C$31</f>
        <v>#DIV/0!</v>
      </c>
      <c r="D16" s="40"/>
      <c r="E16" s="40">
        <v>1</v>
      </c>
      <c r="F16" s="40"/>
      <c r="G16" s="40"/>
      <c r="H16" s="40"/>
      <c r="I16" s="40"/>
      <c r="J16" s="40"/>
      <c r="K16" s="40"/>
      <c r="L16" s="40">
        <f>SUM(D16:K16)</f>
        <v>1</v>
      </c>
    </row>
    <row r="17" spans="1:14" x14ac:dyDescent="0.2">
      <c r="A17" s="283"/>
      <c r="B17" s="285"/>
      <c r="C17" s="35">
        <f>'PLAN ORÇ'!I40</f>
        <v>0</v>
      </c>
      <c r="D17" s="35"/>
      <c r="E17" s="35">
        <f>C17*E16</f>
        <v>0</v>
      </c>
      <c r="F17" s="35"/>
      <c r="G17" s="35"/>
      <c r="H17" s="35"/>
      <c r="I17" s="35"/>
      <c r="J17" s="35"/>
      <c r="K17" s="35"/>
      <c r="L17" s="35">
        <f>ROUND(SUM(D17:K17),2)</f>
        <v>0</v>
      </c>
      <c r="N17" s="46"/>
    </row>
    <row r="18" spans="1:14" ht="12.75" customHeight="1" x14ac:dyDescent="0.2">
      <c r="A18" s="282">
        <v>6</v>
      </c>
      <c r="B18" s="284" t="s">
        <v>79</v>
      </c>
      <c r="C18" s="40" t="e">
        <f>C19/$C$31</f>
        <v>#DIV/0!</v>
      </c>
      <c r="D18" s="40"/>
      <c r="E18" s="40">
        <v>0.5</v>
      </c>
      <c r="F18" s="40">
        <v>0.5</v>
      </c>
      <c r="G18" s="40"/>
      <c r="H18" s="40"/>
      <c r="I18" s="40"/>
      <c r="J18" s="40"/>
      <c r="K18" s="40"/>
      <c r="L18" s="40">
        <f>SUM(D18:K18)</f>
        <v>1</v>
      </c>
    </row>
    <row r="19" spans="1:14" x14ac:dyDescent="0.2">
      <c r="A19" s="283"/>
      <c r="B19" s="285"/>
      <c r="C19" s="35">
        <f>+'PLAN ORÇ'!I45</f>
        <v>0</v>
      </c>
      <c r="D19" s="35"/>
      <c r="E19" s="35">
        <f>C19*E18</f>
        <v>0</v>
      </c>
      <c r="F19" s="35">
        <f>C19*F18</f>
        <v>0</v>
      </c>
      <c r="G19" s="35"/>
      <c r="H19" s="35"/>
      <c r="I19" s="35"/>
      <c r="J19" s="35"/>
      <c r="K19" s="35"/>
      <c r="L19" s="35">
        <f>ROUND(SUM(D19:K19),2)</f>
        <v>0</v>
      </c>
      <c r="N19" s="46"/>
    </row>
    <row r="20" spans="1:14" ht="12.75" customHeight="1" x14ac:dyDescent="0.2">
      <c r="A20" s="282">
        <v>7</v>
      </c>
      <c r="B20" s="284" t="s">
        <v>86</v>
      </c>
      <c r="C20" s="40" t="e">
        <f>C21/$C$31</f>
        <v>#DIV/0!</v>
      </c>
      <c r="D20" s="40"/>
      <c r="E20" s="40">
        <v>0.1</v>
      </c>
      <c r="F20" s="40">
        <v>0.15</v>
      </c>
      <c r="G20" s="40">
        <v>0.15</v>
      </c>
      <c r="H20" s="40">
        <v>0.15</v>
      </c>
      <c r="I20" s="40">
        <v>0.15</v>
      </c>
      <c r="J20" s="40">
        <v>0.15</v>
      </c>
      <c r="K20" s="40">
        <v>0.15</v>
      </c>
      <c r="L20" s="40">
        <f>SUM(D20:K20)</f>
        <v>1</v>
      </c>
    </row>
    <row r="21" spans="1:14" x14ac:dyDescent="0.2">
      <c r="A21" s="283"/>
      <c r="B21" s="285"/>
      <c r="C21" s="35">
        <f>'PLAN ORÇ'!I58</f>
        <v>0</v>
      </c>
      <c r="D21" s="35"/>
      <c r="E21" s="35">
        <f>C21*E20</f>
        <v>0</v>
      </c>
      <c r="F21" s="35">
        <f>C21*F20</f>
        <v>0</v>
      </c>
      <c r="G21" s="35">
        <f>C21*G20</f>
        <v>0</v>
      </c>
      <c r="H21" s="35">
        <f>C21*H20</f>
        <v>0</v>
      </c>
      <c r="I21" s="35">
        <f>C21*I20</f>
        <v>0</v>
      </c>
      <c r="J21" s="35">
        <f>C21*J20</f>
        <v>0</v>
      </c>
      <c r="K21" s="35">
        <f>C21*K20</f>
        <v>0</v>
      </c>
      <c r="L21" s="35">
        <f>ROUND(SUM(D21:K21),2)</f>
        <v>0</v>
      </c>
      <c r="N21" s="46"/>
    </row>
    <row r="22" spans="1:14" ht="12.6" customHeight="1" x14ac:dyDescent="0.2">
      <c r="A22" s="282">
        <v>8</v>
      </c>
      <c r="B22" s="284" t="s">
        <v>108</v>
      </c>
      <c r="C22" s="40" t="e">
        <f>C23/$C$31</f>
        <v>#DIV/0!</v>
      </c>
      <c r="D22" s="40"/>
      <c r="E22" s="40"/>
      <c r="F22" s="40"/>
      <c r="G22" s="40"/>
      <c r="H22" s="40"/>
      <c r="I22" s="40">
        <v>0.4</v>
      </c>
      <c r="J22" s="40">
        <v>0.4</v>
      </c>
      <c r="K22" s="40">
        <v>0.2</v>
      </c>
      <c r="L22" s="40">
        <f>SUM(D22:K22)</f>
        <v>1</v>
      </c>
      <c r="N22" s="46"/>
    </row>
    <row r="23" spans="1:14" ht="12.6" customHeight="1" x14ac:dyDescent="0.2">
      <c r="A23" s="283"/>
      <c r="B23" s="285"/>
      <c r="C23" s="35">
        <f>'PLAN ORÇ'!I113</f>
        <v>0</v>
      </c>
      <c r="D23" s="35"/>
      <c r="E23" s="35"/>
      <c r="F23" s="35"/>
      <c r="G23" s="35"/>
      <c r="H23" s="35"/>
      <c r="I23" s="35">
        <f>C23*I22</f>
        <v>0</v>
      </c>
      <c r="J23" s="35">
        <f>C23*J22</f>
        <v>0</v>
      </c>
      <c r="K23" s="35">
        <f>C23*K22</f>
        <v>0</v>
      </c>
      <c r="L23" s="35">
        <f>ROUND(SUM(D23:K23),2)</f>
        <v>0</v>
      </c>
      <c r="N23" s="46"/>
    </row>
    <row r="24" spans="1:14" ht="12.75" customHeight="1" x14ac:dyDescent="0.2">
      <c r="A24" s="282">
        <v>9</v>
      </c>
      <c r="B24" s="284" t="s">
        <v>109</v>
      </c>
      <c r="C24" s="40" t="e">
        <f>C25/$C$31</f>
        <v>#DIV/0!</v>
      </c>
      <c r="D24" s="40"/>
      <c r="E24" s="40"/>
      <c r="F24" s="40"/>
      <c r="G24" s="40">
        <v>0.15</v>
      </c>
      <c r="H24" s="40"/>
      <c r="I24" s="40"/>
      <c r="J24" s="40">
        <v>0.6</v>
      </c>
      <c r="K24" s="40">
        <v>0.25</v>
      </c>
      <c r="L24" s="40">
        <f>SUM(D24:K24)</f>
        <v>1</v>
      </c>
    </row>
    <row r="25" spans="1:14" x14ac:dyDescent="0.2">
      <c r="A25" s="283"/>
      <c r="B25" s="285"/>
      <c r="C25" s="35">
        <f>'PLAN ORÇ'!I133</f>
        <v>0</v>
      </c>
      <c r="D25" s="35"/>
      <c r="E25" s="35"/>
      <c r="F25" s="35"/>
      <c r="G25" s="35">
        <f>C25*G24</f>
        <v>0</v>
      </c>
      <c r="H25" s="35"/>
      <c r="I25" s="35"/>
      <c r="J25" s="35">
        <f>C25*J24</f>
        <v>0</v>
      </c>
      <c r="K25" s="35">
        <f>C25*K24</f>
        <v>0</v>
      </c>
      <c r="L25" s="35">
        <f>ROUND(SUM(D25:K25),2)</f>
        <v>0</v>
      </c>
      <c r="N25" s="46"/>
    </row>
    <row r="26" spans="1:14" x14ac:dyDescent="0.2">
      <c r="A26" s="282">
        <v>10</v>
      </c>
      <c r="B26" s="286" t="s">
        <v>192</v>
      </c>
      <c r="C26" s="40" t="e">
        <f>C27/$C$31</f>
        <v>#DIV/0!</v>
      </c>
      <c r="D26" s="35"/>
      <c r="E26" s="35"/>
      <c r="F26" s="40"/>
      <c r="G26" s="40"/>
      <c r="H26" s="40"/>
      <c r="I26" s="40">
        <v>0.2</v>
      </c>
      <c r="J26" s="40">
        <v>0.4</v>
      </c>
      <c r="K26" s="40">
        <v>0.4</v>
      </c>
      <c r="L26" s="40">
        <f>SUM(D26:K26)</f>
        <v>1</v>
      </c>
      <c r="N26" s="46"/>
    </row>
    <row r="27" spans="1:14" x14ac:dyDescent="0.2">
      <c r="A27" s="283"/>
      <c r="B27" s="285"/>
      <c r="C27" s="35">
        <f>'PLAN ORÇ'!I153</f>
        <v>0</v>
      </c>
      <c r="D27" s="35"/>
      <c r="E27" s="35"/>
      <c r="F27" s="35"/>
      <c r="G27" s="35"/>
      <c r="H27" s="35"/>
      <c r="I27" s="35">
        <f>C27*I26</f>
        <v>0</v>
      </c>
      <c r="J27" s="35">
        <f>C27*J26</f>
        <v>0</v>
      </c>
      <c r="K27" s="35">
        <f>C27*K26</f>
        <v>0</v>
      </c>
      <c r="L27" s="35">
        <f>ROUND(SUM(D27:K27),2)</f>
        <v>0</v>
      </c>
      <c r="N27" s="46"/>
    </row>
    <row r="28" spans="1:14" x14ac:dyDescent="0.2">
      <c r="A28" s="282">
        <v>11</v>
      </c>
      <c r="B28" s="286" t="s">
        <v>110</v>
      </c>
      <c r="C28" s="40" t="e">
        <f>C29/$C$31</f>
        <v>#DIV/0!</v>
      </c>
      <c r="D28" s="35"/>
      <c r="E28" s="35"/>
      <c r="F28" s="40"/>
      <c r="G28" s="40"/>
      <c r="H28" s="40"/>
      <c r="I28" s="40"/>
      <c r="J28" s="40"/>
      <c r="K28" s="40">
        <v>1</v>
      </c>
      <c r="L28" s="40">
        <f>SUM(D28:K28)</f>
        <v>1</v>
      </c>
      <c r="N28" s="46"/>
    </row>
    <row r="29" spans="1:14" x14ac:dyDescent="0.2">
      <c r="A29" s="283"/>
      <c r="B29" s="285"/>
      <c r="C29" s="35">
        <f>'PLAN ORÇ'!I162</f>
        <v>0</v>
      </c>
      <c r="D29" s="35"/>
      <c r="E29" s="35"/>
      <c r="F29" s="35"/>
      <c r="G29" s="35"/>
      <c r="H29" s="35"/>
      <c r="I29" s="35"/>
      <c r="J29" s="35"/>
      <c r="K29" s="35">
        <f>C29*K28</f>
        <v>0</v>
      </c>
      <c r="L29" s="35">
        <f>ROUND(SUM(D29:K29),2)</f>
        <v>0</v>
      </c>
      <c r="N29" s="46"/>
    </row>
    <row r="30" spans="1:14" x14ac:dyDescent="0.2">
      <c r="A30" s="288" t="s">
        <v>8</v>
      </c>
      <c r="B30" s="288"/>
      <c r="C30" s="88" t="e">
        <f>C10+C12+C14+C16+C18+C20+C22+C24+C26+C28+C8</f>
        <v>#DIV/0!</v>
      </c>
      <c r="D30" s="88" t="e">
        <f>((D31*C30)/C31)</f>
        <v>#DIV/0!</v>
      </c>
      <c r="E30" s="88" t="e">
        <f>((E31*C30)/C31)</f>
        <v>#DIV/0!</v>
      </c>
      <c r="F30" s="88" t="e">
        <f>((F31*C30)/C31)</f>
        <v>#DIV/0!</v>
      </c>
      <c r="G30" s="88" t="e">
        <f>((G31*C30)/C31)</f>
        <v>#DIV/0!</v>
      </c>
      <c r="H30" s="88" t="e">
        <f>((H31*C30)/C31)</f>
        <v>#DIV/0!</v>
      </c>
      <c r="I30" s="88" t="e">
        <f>((I31*C30)/C31)</f>
        <v>#DIV/0!</v>
      </c>
      <c r="J30" s="88" t="e">
        <f>((J31*C30)/C31)</f>
        <v>#DIV/0!</v>
      </c>
      <c r="K30" s="88" t="e">
        <f>((K31*C30)/C31)</f>
        <v>#DIV/0!</v>
      </c>
      <c r="L30" s="36" t="e">
        <f>SUM(D30:K30)</f>
        <v>#DIV/0!</v>
      </c>
    </row>
    <row r="31" spans="1:14" x14ac:dyDescent="0.2">
      <c r="A31" s="289"/>
      <c r="B31" s="289"/>
      <c r="C31" s="37">
        <f>C11+C13+C15+C17+C19+C21+C25+C23+C29+C27+C9</f>
        <v>0</v>
      </c>
      <c r="D31" s="37">
        <f>D11+D13+D15+D17+D19+D21+D25+D23+D9</f>
        <v>0</v>
      </c>
      <c r="E31" s="37">
        <f>E11+E13+E15+E17+E19+E21+E25+E23+E9</f>
        <v>0</v>
      </c>
      <c r="F31" s="37">
        <f>F11+F13+F15+F17+F19+F21+F25+F23+F9</f>
        <v>0</v>
      </c>
      <c r="G31" s="37">
        <f>G11+G13+G15+G17+G19+G21+G25+G23+G9</f>
        <v>0</v>
      </c>
      <c r="H31" s="37">
        <f>H11+H13+H15+H17+H19+H21+H25+H23+H9</f>
        <v>0</v>
      </c>
      <c r="I31" s="37">
        <f>I11+I13+I15+I17+I19+I21+I25+I23+I27+I9</f>
        <v>0</v>
      </c>
      <c r="J31" s="37">
        <f>J11+J13+J15+J17+J19+J21+J25+J23+J27+J9</f>
        <v>0</v>
      </c>
      <c r="K31" s="37">
        <f>K11+K13+K15+K17+K19+K21+K25+K23+K29+K27+K9</f>
        <v>0</v>
      </c>
      <c r="L31" s="37">
        <f>SUM(D31:K31)</f>
        <v>0</v>
      </c>
    </row>
    <row r="32" spans="1:14" x14ac:dyDescent="0.2">
      <c r="A32" s="107"/>
      <c r="B32" s="77"/>
      <c r="C32" s="31"/>
      <c r="D32" s="32"/>
      <c r="E32" s="32"/>
      <c r="F32" s="32"/>
      <c r="G32" s="32"/>
      <c r="H32" s="32"/>
      <c r="I32" s="32"/>
      <c r="J32" s="32"/>
      <c r="K32" s="32"/>
      <c r="L32" s="33"/>
    </row>
    <row r="33" spans="1:14" x14ac:dyDescent="0.2">
      <c r="A33" s="107"/>
      <c r="B33" s="77"/>
      <c r="C33" s="31"/>
      <c r="D33" s="32"/>
      <c r="E33" s="32"/>
      <c r="F33" s="32"/>
      <c r="G33" s="32"/>
      <c r="H33" s="32"/>
      <c r="I33" s="32"/>
      <c r="J33" s="32"/>
      <c r="K33" s="32"/>
      <c r="L33" s="33"/>
    </row>
    <row r="34" spans="1:14" x14ac:dyDescent="0.2">
      <c r="A34" s="25"/>
      <c r="B34" s="77"/>
      <c r="C34" s="17"/>
      <c r="D34" s="17"/>
      <c r="E34" s="17"/>
      <c r="F34" s="17"/>
      <c r="G34" s="17"/>
      <c r="H34" s="17"/>
      <c r="I34" s="17"/>
      <c r="J34" s="17"/>
      <c r="K34" s="17"/>
      <c r="L34" s="34"/>
    </row>
    <row r="35" spans="1:14" x14ac:dyDescent="0.2">
      <c r="A35" s="25"/>
      <c r="B35" s="124"/>
      <c r="C35" s="17"/>
      <c r="D35" s="124"/>
      <c r="E35" s="50"/>
      <c r="F35" s="50"/>
      <c r="G35" s="50"/>
      <c r="H35" s="50"/>
      <c r="I35" s="50"/>
      <c r="J35" s="50"/>
      <c r="K35" s="50"/>
      <c r="L35" s="34"/>
      <c r="N35" s="46"/>
    </row>
    <row r="36" spans="1:14" x14ac:dyDescent="0.2">
      <c r="A36" s="25"/>
      <c r="B36" s="61"/>
      <c r="C36" s="17"/>
      <c r="D36" s="90"/>
      <c r="E36" s="108"/>
      <c r="F36" s="108"/>
      <c r="G36" s="108"/>
      <c r="H36" s="108"/>
      <c r="I36" s="108"/>
      <c r="J36" s="108"/>
      <c r="K36" s="108"/>
      <c r="L36" s="34"/>
    </row>
    <row r="37" spans="1:14" x14ac:dyDescent="0.2">
      <c r="A37" s="25"/>
      <c r="B37" s="91"/>
      <c r="C37" s="17"/>
      <c r="D37" s="91"/>
      <c r="E37" s="4"/>
      <c r="F37" s="4"/>
      <c r="G37" s="4"/>
      <c r="H37" s="4"/>
      <c r="I37" s="4"/>
      <c r="J37" s="4"/>
      <c r="K37" s="4"/>
      <c r="L37" s="34"/>
    </row>
    <row r="38" spans="1:14" x14ac:dyDescent="0.2">
      <c r="A38" s="25"/>
      <c r="C38" s="17"/>
      <c r="D38" s="17"/>
      <c r="E38" s="17"/>
      <c r="F38" s="17"/>
      <c r="G38" s="17"/>
      <c r="H38" s="17"/>
      <c r="I38" s="17"/>
      <c r="J38" s="17"/>
      <c r="K38" s="17"/>
      <c r="L38" s="34"/>
    </row>
    <row r="39" spans="1:14" x14ac:dyDescent="0.2">
      <c r="A39" s="25"/>
      <c r="C39" s="17"/>
      <c r="D39" s="17"/>
      <c r="E39" s="17"/>
      <c r="F39" s="17"/>
      <c r="G39" s="17"/>
      <c r="H39" s="17"/>
      <c r="I39" s="17"/>
      <c r="J39" s="17"/>
      <c r="K39" s="17"/>
      <c r="L39" s="34"/>
    </row>
    <row r="40" spans="1:14" x14ac:dyDescent="0.2">
      <c r="A40" s="47"/>
      <c r="B40" s="81"/>
      <c r="C40" s="48"/>
      <c r="D40" s="48"/>
      <c r="E40" s="48"/>
      <c r="F40" s="48"/>
      <c r="G40" s="48"/>
      <c r="H40" s="48"/>
      <c r="I40" s="48"/>
      <c r="J40" s="48"/>
      <c r="K40" s="48"/>
      <c r="L40" s="49"/>
      <c r="N40" s="46"/>
    </row>
    <row r="41" spans="1:14" x14ac:dyDescent="0.2">
      <c r="N41" s="46"/>
    </row>
  </sheetData>
  <mergeCells count="24">
    <mergeCell ref="A30:B31"/>
    <mergeCell ref="A12:A13"/>
    <mergeCell ref="B12:B13"/>
    <mergeCell ref="A14:A15"/>
    <mergeCell ref="B14:B15"/>
    <mergeCell ref="A16:A17"/>
    <mergeCell ref="B16:B17"/>
    <mergeCell ref="A18:A19"/>
    <mergeCell ref="B18:B19"/>
    <mergeCell ref="A20:A21"/>
    <mergeCell ref="B20:B21"/>
    <mergeCell ref="A24:A25"/>
    <mergeCell ref="B24:B25"/>
    <mergeCell ref="A26:A27"/>
    <mergeCell ref="B26:B27"/>
    <mergeCell ref="A28:A29"/>
    <mergeCell ref="A22:A23"/>
    <mergeCell ref="B22:B23"/>
    <mergeCell ref="B28:B29"/>
    <mergeCell ref="A2:L2"/>
    <mergeCell ref="A10:A11"/>
    <mergeCell ref="B10:B11"/>
    <mergeCell ref="A8:A9"/>
    <mergeCell ref="B8:B9"/>
  </mergeCells>
  <printOptions horizontalCentered="1"/>
  <pageMargins left="0.78740157480314965" right="0.59055118110236227" top="1.5748031496062993" bottom="0.78740157480314965" header="0.31496062992125984" footer="0.31496062992125984"/>
  <pageSetup paperSize="9" scale="54" orientation="landscape" horizontalDpi="4294967292" verticalDpi="1200" r:id="rId1"/>
  <ignoredErrors>
    <ignoredError sqref="L10 C10" evalError="1"/>
    <ignoredError sqref="D24:E25 L24:L25 L21 L11 D11 L12:L13 D13 L14:L15 L16:L17 D18 D19 L18:L19 L20" evalError="1" formula="1"/>
    <ignoredError sqref="L22 L2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6</vt:i4>
      </vt:variant>
    </vt:vector>
  </HeadingPairs>
  <TitlesOfParts>
    <vt:vector size="9" baseType="lpstr">
      <vt:lpstr>PLAN ORÇ</vt:lpstr>
      <vt:lpstr>MM CALC</vt:lpstr>
      <vt:lpstr>CRON</vt:lpstr>
      <vt:lpstr>CRON!Area_de_impressao</vt:lpstr>
      <vt:lpstr>'MM CALC'!Area_de_impressao</vt:lpstr>
      <vt:lpstr>'PLAN ORÇ'!Area_de_impressao</vt:lpstr>
      <vt:lpstr>Fonte</vt:lpstr>
      <vt:lpstr>'MM CALC'!Titulos_de_impressao</vt:lpstr>
      <vt:lpstr>'PLAN ORÇ'!Titulos_de_impressao</vt:lpstr>
    </vt:vector>
  </TitlesOfParts>
  <Company>EMPRESARIAL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Nadylla</cp:lastModifiedBy>
  <cp:lastPrinted>2022-05-12T13:36:12Z</cp:lastPrinted>
  <dcterms:created xsi:type="dcterms:W3CDTF">2010-03-02T12:32:19Z</dcterms:created>
  <dcterms:modified xsi:type="dcterms:W3CDTF">2025-05-08T15:45:50Z</dcterms:modified>
</cp:coreProperties>
</file>